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VALUASI RENJA TRIWULAN\2022\"/>
    </mc:Choice>
  </mc:AlternateContent>
  <bookViews>
    <workbookView xWindow="0" yWindow="0" windowWidth="28800" windowHeight="12210" tabRatio="823"/>
  </bookViews>
  <sheets>
    <sheet name="template isian " sheetId="7" r:id="rId1"/>
    <sheet name="sasaran RKPD 2022" sheetId="47" r:id="rId2"/>
    <sheet name="program prioritas 2022" sheetId="48" r:id="rId3"/>
    <sheet name="1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9" i="7" l="1"/>
  <c r="V57" i="7"/>
  <c r="V58" i="7" s="1"/>
  <c r="T57" i="7"/>
  <c r="V54" i="7"/>
  <c r="U18" i="7" l="1"/>
  <c r="V18" i="7"/>
  <c r="R57" i="7" l="1"/>
  <c r="R56" i="7" s="1"/>
  <c r="R52" i="7"/>
  <c r="R53" i="7"/>
  <c r="Q54" i="7"/>
  <c r="M54" i="7"/>
  <c r="R51" i="7"/>
  <c r="R50" i="7" s="1"/>
  <c r="R49" i="7" s="1"/>
  <c r="R46" i="7"/>
  <c r="Q48" i="7"/>
  <c r="Q47" i="7"/>
  <c r="R48" i="7"/>
  <c r="R47" i="7"/>
  <c r="R44" i="7"/>
  <c r="R43" i="7" s="1"/>
  <c r="R40" i="7"/>
  <c r="Q42" i="7"/>
  <c r="R42" i="7"/>
  <c r="R41" i="7"/>
  <c r="Q41" i="7" s="1"/>
  <c r="Q36" i="7"/>
  <c r="R38" i="7"/>
  <c r="Q38" i="7" s="1"/>
  <c r="R37" i="7"/>
  <c r="Q37" i="7" s="1"/>
  <c r="P33" i="7"/>
  <c r="R35" i="7"/>
  <c r="Q35" i="7" s="1"/>
  <c r="R34" i="7"/>
  <c r="Q34" i="7" s="1"/>
  <c r="Q32" i="7"/>
  <c r="Q31" i="7"/>
  <c r="R32" i="7"/>
  <c r="R31" i="7"/>
  <c r="R29" i="7" s="1"/>
  <c r="R30" i="7"/>
  <c r="Q30" i="7" s="1"/>
  <c r="Q28" i="7"/>
  <c r="R28" i="7"/>
  <c r="R27" i="7"/>
  <c r="Q27" i="7" s="1"/>
  <c r="Q23" i="7"/>
  <c r="P19" i="7"/>
  <c r="R25" i="7"/>
  <c r="Q25" i="7" s="1"/>
  <c r="R24" i="7"/>
  <c r="Q24" i="7" s="1"/>
  <c r="R23" i="7"/>
  <c r="R22" i="7"/>
  <c r="Q22" i="7" s="1"/>
  <c r="R21" i="7"/>
  <c r="Q21" i="7" s="1"/>
  <c r="R20" i="7"/>
  <c r="Q20" i="7" s="1"/>
  <c r="Q17" i="7"/>
  <c r="R17" i="7"/>
  <c r="Q18" i="7"/>
  <c r="O18" i="7"/>
  <c r="R55" i="7" l="1"/>
  <c r="R39" i="7"/>
  <c r="Q44" i="7"/>
  <c r="R19" i="7"/>
  <c r="R16" i="7" s="1"/>
  <c r="Q57" i="7"/>
  <c r="R26" i="7"/>
  <c r="Q51" i="7"/>
  <c r="R45" i="7"/>
  <c r="R33" i="7"/>
  <c r="P52" i="7"/>
  <c r="P50" i="7"/>
  <c r="P49" i="7" s="1"/>
  <c r="P46" i="7"/>
  <c r="P45" i="7"/>
  <c r="P39" i="7"/>
  <c r="P29" i="7"/>
  <c r="P26" i="7"/>
  <c r="P55" i="7"/>
  <c r="P56" i="7"/>
  <c r="P53" i="7"/>
  <c r="N53" i="7"/>
  <c r="N52" i="7"/>
  <c r="P43" i="7"/>
  <c r="P40" i="7"/>
  <c r="N40" i="7"/>
  <c r="N19" i="7"/>
  <c r="P17" i="7"/>
  <c r="P16" i="7" s="1"/>
  <c r="O57" i="7"/>
  <c r="O54" i="7"/>
  <c r="O51" i="7"/>
  <c r="O48" i="7"/>
  <c r="O47" i="7"/>
  <c r="O44" i="7"/>
  <c r="O42" i="7"/>
  <c r="O41" i="7"/>
  <c r="O37" i="7"/>
  <c r="O38" i="7"/>
  <c r="O35" i="7"/>
  <c r="O36" i="7"/>
  <c r="O34" i="7"/>
  <c r="O31" i="7"/>
  <c r="O32" i="7"/>
  <c r="O30" i="7"/>
  <c r="O28" i="7"/>
  <c r="O27" i="7"/>
  <c r="O25" i="7"/>
  <c r="O24" i="7"/>
  <c r="O23" i="7"/>
  <c r="O22" i="7"/>
  <c r="O21" i="7"/>
  <c r="O20" i="7"/>
  <c r="M18" i="7"/>
  <c r="N56" i="7" l="1"/>
  <c r="N55" i="7" s="1"/>
  <c r="L56" i="7"/>
  <c r="L55" i="7" s="1"/>
  <c r="L53" i="7"/>
  <c r="L52" i="7" s="1"/>
  <c r="N50" i="7"/>
  <c r="N49" i="7" s="1"/>
  <c r="L50" i="7"/>
  <c r="L49" i="7" s="1"/>
  <c r="L46" i="7"/>
  <c r="L45" i="7" s="1"/>
  <c r="N46" i="7"/>
  <c r="N45" i="7" s="1"/>
  <c r="K44" i="7"/>
  <c r="N43" i="7"/>
  <c r="N39" i="7" s="1"/>
  <c r="L43" i="7"/>
  <c r="L40" i="7"/>
  <c r="N33" i="7"/>
  <c r="L33" i="7"/>
  <c r="N29" i="7"/>
  <c r="L29" i="7"/>
  <c r="N26" i="7"/>
  <c r="L26" i="7"/>
  <c r="L19" i="7"/>
  <c r="T19" i="7" s="1"/>
  <c r="N17" i="7"/>
  <c r="T17" i="7" s="1"/>
  <c r="L17" i="7"/>
  <c r="N16" i="7" l="1"/>
  <c r="T16" i="7" s="1"/>
  <c r="L39" i="7"/>
  <c r="L16" i="7"/>
  <c r="M57" i="7"/>
  <c r="M51" i="7"/>
  <c r="AD51" i="7"/>
  <c r="M48" i="7"/>
  <c r="M47" i="7"/>
  <c r="AD48" i="7"/>
  <c r="M44" i="7"/>
  <c r="M42" i="7"/>
  <c r="AD42" i="7"/>
  <c r="M41" i="7"/>
  <c r="AD41" i="7"/>
  <c r="M38" i="7"/>
  <c r="M37" i="7"/>
  <c r="M36" i="7"/>
  <c r="AD37" i="7"/>
  <c r="M35" i="7"/>
  <c r="AD35" i="7"/>
  <c r="M34" i="7"/>
  <c r="AD34" i="7"/>
  <c r="M32" i="7"/>
  <c r="AD32" i="7"/>
  <c r="M31" i="7"/>
  <c r="AD31" i="7"/>
  <c r="M30" i="7"/>
  <c r="AD30" i="7"/>
  <c r="M28" i="7"/>
  <c r="M27" i="7"/>
  <c r="K18" i="7"/>
  <c r="M25" i="7"/>
  <c r="AD25" i="7"/>
  <c r="AD24" i="7"/>
  <c r="M24" i="7"/>
  <c r="M23" i="7"/>
  <c r="AD23" i="7"/>
  <c r="M22" i="7" l="1"/>
  <c r="AD22" i="7"/>
  <c r="M21" i="7"/>
  <c r="AD21" i="7"/>
  <c r="M20" i="7"/>
  <c r="AD20" i="7"/>
  <c r="AD18" i="7"/>
  <c r="K57" i="7"/>
  <c r="K54" i="7"/>
  <c r="K51" i="7"/>
  <c r="K48" i="7"/>
  <c r="K47" i="7"/>
  <c r="K42" i="7"/>
  <c r="K41" i="7"/>
  <c r="K38" i="7"/>
  <c r="S38" i="7" s="1"/>
  <c r="K37" i="7"/>
  <c r="K36" i="7"/>
  <c r="K35" i="7"/>
  <c r="K34" i="7"/>
  <c r="K32" i="7"/>
  <c r="K31" i="7"/>
  <c r="K30" i="7"/>
  <c r="K28" i="7"/>
  <c r="K27" i="7"/>
  <c r="K21" i="7"/>
  <c r="K22" i="7"/>
  <c r="K23" i="7"/>
  <c r="K24" i="7"/>
  <c r="K25" i="7"/>
  <c r="K20" i="7"/>
  <c r="T38" i="7"/>
  <c r="V38" i="7" s="1"/>
  <c r="U38" i="7" l="1"/>
  <c r="W38" i="7"/>
  <c r="Y38" i="7" s="1"/>
  <c r="X38" i="7"/>
  <c r="Z38" i="7" s="1"/>
  <c r="J56" i="7"/>
  <c r="Q56" i="7" s="1"/>
  <c r="Q55" i="7" s="1"/>
  <c r="J53" i="7"/>
  <c r="J50" i="7"/>
  <c r="J46" i="7"/>
  <c r="J43" i="7"/>
  <c r="J40" i="7"/>
  <c r="J33" i="7"/>
  <c r="J29" i="7"/>
  <c r="J26" i="7"/>
  <c r="J19" i="7"/>
  <c r="J17" i="7"/>
  <c r="T54" i="7"/>
  <c r="X54" i="7" s="1"/>
  <c r="Z54" i="7" s="1"/>
  <c r="S54" i="7"/>
  <c r="W54" i="7" s="1"/>
  <c r="Y54" i="7" s="1"/>
  <c r="T53" i="7"/>
  <c r="X53" i="7" s="1"/>
  <c r="Z53" i="7" s="1"/>
  <c r="I53" i="7"/>
  <c r="I52" i="7" s="1"/>
  <c r="T52" i="7"/>
  <c r="X52" i="7" s="1"/>
  <c r="Z52" i="7" s="1"/>
  <c r="O40" i="7" l="1"/>
  <c r="Q40" i="7"/>
  <c r="O46" i="7"/>
  <c r="Q46" i="7"/>
  <c r="Q45" i="7" s="1"/>
  <c r="Q43" i="7"/>
  <c r="O43" i="7"/>
  <c r="Q53" i="7"/>
  <c r="Q52" i="7" s="1"/>
  <c r="O53" i="7"/>
  <c r="Q50" i="7"/>
  <c r="Q49" i="7" s="1"/>
  <c r="O50" i="7"/>
  <c r="Q19" i="7"/>
  <c r="M19" i="7"/>
  <c r="O19" i="7"/>
  <c r="J55" i="7"/>
  <c r="O55" i="7" s="1"/>
  <c r="O56" i="7"/>
  <c r="O33" i="7"/>
  <c r="Q33" i="7"/>
  <c r="Q29" i="7"/>
  <c r="O29" i="7"/>
  <c r="Q26" i="7"/>
  <c r="O26" i="7"/>
  <c r="O17" i="7"/>
  <c r="M17" i="7"/>
  <c r="K26" i="7"/>
  <c r="M26" i="7"/>
  <c r="M43" i="7"/>
  <c r="K43" i="7"/>
  <c r="K53" i="7"/>
  <c r="M53" i="7"/>
  <c r="S53" i="7" s="1"/>
  <c r="W53" i="7" s="1"/>
  <c r="Y53" i="7" s="1"/>
  <c r="J16" i="7"/>
  <c r="M33" i="7"/>
  <c r="K33" i="7"/>
  <c r="J52" i="7"/>
  <c r="O52" i="7" s="1"/>
  <c r="M40" i="7"/>
  <c r="K40" i="7"/>
  <c r="J39" i="7"/>
  <c r="K29" i="7"/>
  <c r="M29" i="7"/>
  <c r="J45" i="7"/>
  <c r="O45" i="7" s="1"/>
  <c r="M46" i="7"/>
  <c r="K46" i="7"/>
  <c r="M50" i="7"/>
  <c r="K50" i="7"/>
  <c r="K56" i="7"/>
  <c r="M56" i="7"/>
  <c r="J49" i="7"/>
  <c r="O49" i="7" s="1"/>
  <c r="K17" i="7"/>
  <c r="K19" i="7"/>
  <c r="V53" i="7"/>
  <c r="V52" i="7"/>
  <c r="U54" i="7"/>
  <c r="I56" i="7"/>
  <c r="I55" i="7" s="1"/>
  <c r="I50" i="7"/>
  <c r="I49" i="7" s="1"/>
  <c r="I45" i="7"/>
  <c r="I43" i="7"/>
  <c r="I39" i="7"/>
  <c r="K55" i="7" l="1"/>
  <c r="M55" i="7"/>
  <c r="O39" i="7"/>
  <c r="Q39" i="7"/>
  <c r="Q16" i="7"/>
  <c r="O16" i="7"/>
  <c r="U53" i="7"/>
  <c r="J15" i="7"/>
  <c r="M39" i="7"/>
  <c r="K39" i="7"/>
  <c r="M49" i="7"/>
  <c r="K49" i="7"/>
  <c r="S49" i="7" s="1"/>
  <c r="U49" i="7" s="1"/>
  <c r="M52" i="7"/>
  <c r="K52" i="7"/>
  <c r="M16" i="7"/>
  <c r="K16" i="7"/>
  <c r="K45" i="7"/>
  <c r="M45" i="7"/>
  <c r="S57" i="7"/>
  <c r="T56" i="7"/>
  <c r="V56" i="7" s="1"/>
  <c r="S56" i="7"/>
  <c r="U56" i="7" s="1"/>
  <c r="T55" i="7"/>
  <c r="V55" i="7" s="1"/>
  <c r="S55" i="7"/>
  <c r="T51" i="7"/>
  <c r="V51" i="7" s="1"/>
  <c r="S51" i="7"/>
  <c r="W51" i="7" s="1"/>
  <c r="Y51" i="7" s="1"/>
  <c r="T50" i="7"/>
  <c r="V50" i="7" s="1"/>
  <c r="S50" i="7"/>
  <c r="T49" i="7"/>
  <c r="V49" i="7" s="1"/>
  <c r="T48" i="7"/>
  <c r="X48" i="7" s="1"/>
  <c r="Z48" i="7" s="1"/>
  <c r="S48" i="7"/>
  <c r="W48" i="7" s="1"/>
  <c r="Y48" i="7" s="1"/>
  <c r="T47" i="7"/>
  <c r="X47" i="7" s="1"/>
  <c r="Z47" i="7" s="1"/>
  <c r="S47" i="7"/>
  <c r="W47" i="7" s="1"/>
  <c r="Y47" i="7" s="1"/>
  <c r="T46" i="7"/>
  <c r="X46" i="7" s="1"/>
  <c r="Z46" i="7" s="1"/>
  <c r="S46" i="7"/>
  <c r="W46" i="7" s="1"/>
  <c r="Y46" i="7" s="1"/>
  <c r="T45" i="7"/>
  <c r="S45" i="7"/>
  <c r="W45" i="7" s="1"/>
  <c r="Y45" i="7" s="1"/>
  <c r="T44" i="7"/>
  <c r="X44" i="7" s="1"/>
  <c r="Z44" i="7" s="1"/>
  <c r="S44" i="7"/>
  <c r="W44" i="7" s="1"/>
  <c r="Y44" i="7" s="1"/>
  <c r="T43" i="7"/>
  <c r="X43" i="7" s="1"/>
  <c r="Z43" i="7" s="1"/>
  <c r="S43" i="7"/>
  <c r="W43" i="7" s="1"/>
  <c r="Y43" i="7" s="1"/>
  <c r="T42" i="7"/>
  <c r="X42" i="7" s="1"/>
  <c r="Z42" i="7" s="1"/>
  <c r="S42" i="7"/>
  <c r="W42" i="7" s="1"/>
  <c r="Y42" i="7" s="1"/>
  <c r="T41" i="7"/>
  <c r="X41" i="7" s="1"/>
  <c r="Z41" i="7" s="1"/>
  <c r="S41" i="7"/>
  <c r="W41" i="7" s="1"/>
  <c r="Y41" i="7" s="1"/>
  <c r="T40" i="7"/>
  <c r="X40" i="7" s="1"/>
  <c r="Z40" i="7" s="1"/>
  <c r="S40" i="7"/>
  <c r="W40" i="7" s="1"/>
  <c r="Y40" i="7" s="1"/>
  <c r="T39" i="7"/>
  <c r="T15" i="7" s="1"/>
  <c r="T37" i="7"/>
  <c r="X37" i="7" s="1"/>
  <c r="Z37" i="7" s="1"/>
  <c r="S37" i="7"/>
  <c r="W37" i="7" s="1"/>
  <c r="Y37" i="7" s="1"/>
  <c r="T36" i="7"/>
  <c r="X36" i="7" s="1"/>
  <c r="Z36" i="7" s="1"/>
  <c r="S36" i="7"/>
  <c r="W36" i="7" s="1"/>
  <c r="Y36" i="7" s="1"/>
  <c r="T35" i="7"/>
  <c r="X35" i="7" s="1"/>
  <c r="Z35" i="7" s="1"/>
  <c r="S35" i="7"/>
  <c r="W35" i="7" s="1"/>
  <c r="Y35" i="7" s="1"/>
  <c r="T34" i="7"/>
  <c r="X34" i="7" s="1"/>
  <c r="Z34" i="7" s="1"/>
  <c r="S34" i="7"/>
  <c r="W34" i="7" s="1"/>
  <c r="Y34" i="7" s="1"/>
  <c r="T33" i="7"/>
  <c r="X33" i="7" s="1"/>
  <c r="Z33" i="7" s="1"/>
  <c r="S33" i="7"/>
  <c r="W33" i="7" s="1"/>
  <c r="Y33" i="7" s="1"/>
  <c r="T32" i="7"/>
  <c r="X32" i="7" s="1"/>
  <c r="Z32" i="7" s="1"/>
  <c r="S32" i="7"/>
  <c r="W32" i="7" s="1"/>
  <c r="Y32" i="7" s="1"/>
  <c r="T31" i="7"/>
  <c r="X31" i="7" s="1"/>
  <c r="Z31" i="7" s="1"/>
  <c r="S31" i="7"/>
  <c r="W31" i="7" s="1"/>
  <c r="Y31" i="7" s="1"/>
  <c r="T30" i="7"/>
  <c r="X30" i="7" s="1"/>
  <c r="Z30" i="7" s="1"/>
  <c r="S30" i="7"/>
  <c r="W30" i="7" s="1"/>
  <c r="Y30" i="7" s="1"/>
  <c r="T29" i="7"/>
  <c r="X29" i="7" s="1"/>
  <c r="Z29" i="7" s="1"/>
  <c r="S29" i="7"/>
  <c r="W29" i="7" s="1"/>
  <c r="Y29" i="7" s="1"/>
  <c r="T28" i="7"/>
  <c r="X28" i="7" s="1"/>
  <c r="Z28" i="7" s="1"/>
  <c r="S28" i="7"/>
  <c r="W28" i="7" s="1"/>
  <c r="Y28" i="7" s="1"/>
  <c r="T27" i="7"/>
  <c r="X27" i="7" s="1"/>
  <c r="Z27" i="7" s="1"/>
  <c r="S27" i="7"/>
  <c r="W27" i="7" s="1"/>
  <c r="Y27" i="7" s="1"/>
  <c r="T26" i="7"/>
  <c r="X26" i="7" s="1"/>
  <c r="Z26" i="7" s="1"/>
  <c r="S26" i="7"/>
  <c r="W26" i="7" s="1"/>
  <c r="Y26" i="7" s="1"/>
  <c r="T25" i="7"/>
  <c r="T24" i="7"/>
  <c r="T23" i="7"/>
  <c r="T22" i="7"/>
  <c r="T21" i="7"/>
  <c r="T20" i="7"/>
  <c r="X19" i="7"/>
  <c r="Z19" i="7" s="1"/>
  <c r="S19" i="7"/>
  <c r="W19" i="7" s="1"/>
  <c r="Y19" i="7" s="1"/>
  <c r="T18" i="7"/>
  <c r="X17" i="7"/>
  <c r="Z17" i="7" s="1"/>
  <c r="S17" i="7"/>
  <c r="W17" i="7" s="1"/>
  <c r="Y17" i="7" s="1"/>
  <c r="W15" i="7"/>
  <c r="Y15" i="7" s="1"/>
  <c r="W14" i="7"/>
  <c r="Y14" i="7" s="1"/>
  <c r="S39" i="7" l="1"/>
  <c r="W39" i="7" s="1"/>
  <c r="Y39" i="7" s="1"/>
  <c r="X45" i="7"/>
  <c r="Z45" i="7" s="1"/>
  <c r="X16" i="7"/>
  <c r="Z16" i="7" s="1"/>
  <c r="S16" i="7"/>
  <c r="W16" i="7" s="1"/>
  <c r="Y16" i="7" s="1"/>
  <c r="X18" i="7"/>
  <c r="Z18" i="7" s="1"/>
  <c r="S18" i="7"/>
  <c r="X20" i="7"/>
  <c r="Z20" i="7" s="1"/>
  <c r="S20" i="7"/>
  <c r="W20" i="7" s="1"/>
  <c r="Y20" i="7" s="1"/>
  <c r="S52" i="7"/>
  <c r="X22" i="7"/>
  <c r="Z22" i="7" s="1"/>
  <c r="S22" i="7"/>
  <c r="W22" i="7" s="1"/>
  <c r="Y22" i="7" s="1"/>
  <c r="X21" i="7"/>
  <c r="Z21" i="7" s="1"/>
  <c r="S21" i="7"/>
  <c r="W21" i="7" s="1"/>
  <c r="Y21" i="7" s="1"/>
  <c r="X39" i="7"/>
  <c r="Z39" i="7" s="1"/>
  <c r="X25" i="7"/>
  <c r="Z25" i="7" s="1"/>
  <c r="S25" i="7"/>
  <c r="W25" i="7" s="1"/>
  <c r="Y25" i="7" s="1"/>
  <c r="X24" i="7"/>
  <c r="Z24" i="7" s="1"/>
  <c r="S24" i="7"/>
  <c r="W24" i="7" s="1"/>
  <c r="Y24" i="7" s="1"/>
  <c r="X23" i="7"/>
  <c r="Z23" i="7" s="1"/>
  <c r="S23" i="7"/>
  <c r="W23" i="7" s="1"/>
  <c r="Y23" i="7" s="1"/>
  <c r="W49" i="7"/>
  <c r="Y49" i="7" s="1"/>
  <c r="V45" i="7"/>
  <c r="V29" i="7"/>
  <c r="V48" i="7"/>
  <c r="Y58" i="7"/>
  <c r="V34" i="7"/>
  <c r="V36" i="7"/>
  <c r="V22" i="7"/>
  <c r="V43" i="7"/>
  <c r="U48" i="7"/>
  <c r="V30" i="7"/>
  <c r="V39" i="7"/>
  <c r="V26" i="7"/>
  <c r="V32" i="7"/>
  <c r="V41" i="7"/>
  <c r="X14" i="7"/>
  <c r="Z14" i="7" s="1"/>
  <c r="V24" i="7"/>
  <c r="V47" i="7"/>
  <c r="V20" i="7"/>
  <c r="V27" i="7"/>
  <c r="V19" i="7"/>
  <c r="V23" i="7"/>
  <c r="V33" i="7"/>
  <c r="V37" i="7"/>
  <c r="V42" i="7"/>
  <c r="V46" i="7"/>
  <c r="U17" i="7"/>
  <c r="W56" i="7"/>
  <c r="Y56" i="7" s="1"/>
  <c r="V21" i="7"/>
  <c r="V25" i="7"/>
  <c r="V28" i="7"/>
  <c r="V31" i="7"/>
  <c r="V35" i="7"/>
  <c r="V40" i="7"/>
  <c r="V44" i="7"/>
  <c r="X55" i="7"/>
  <c r="Z55" i="7" s="1"/>
  <c r="X57" i="7"/>
  <c r="Z57" i="7" s="1"/>
  <c r="U51" i="7"/>
  <c r="U20" i="7"/>
  <c r="U22" i="7"/>
  <c r="U23" i="7"/>
  <c r="U26" i="7"/>
  <c r="U27" i="7"/>
  <c r="U28" i="7"/>
  <c r="U29" i="7"/>
  <c r="U30" i="7"/>
  <c r="U31" i="7"/>
  <c r="U32" i="7"/>
  <c r="U33" i="7"/>
  <c r="U34" i="7"/>
  <c r="U35" i="7"/>
  <c r="U36" i="7"/>
  <c r="U37" i="7"/>
  <c r="U40" i="7"/>
  <c r="U41" i="7"/>
  <c r="U42" i="7"/>
  <c r="U43" i="7"/>
  <c r="U44" i="7"/>
  <c r="U45" i="7"/>
  <c r="U46" i="7"/>
  <c r="U47" i="7"/>
  <c r="X50" i="7"/>
  <c r="Z50" i="7" s="1"/>
  <c r="V17" i="7"/>
  <c r="V16" i="7"/>
  <c r="W50" i="7"/>
  <c r="Y50" i="7" s="1"/>
  <c r="U50" i="7"/>
  <c r="W55" i="7"/>
  <c r="Y55" i="7" s="1"/>
  <c r="U55" i="7"/>
  <c r="W57" i="7"/>
  <c r="Y57" i="7" s="1"/>
  <c r="U57" i="7"/>
  <c r="X49" i="7"/>
  <c r="Z49" i="7" s="1"/>
  <c r="X51" i="7"/>
  <c r="Z51" i="7" s="1"/>
  <c r="X56" i="7"/>
  <c r="Z56" i="7" s="1"/>
  <c r="U39" i="7" l="1"/>
  <c r="X15" i="7"/>
  <c r="Z15" i="7" s="1"/>
  <c r="U25" i="7"/>
  <c r="U21" i="7"/>
  <c r="U16" i="7"/>
  <c r="W52" i="7"/>
  <c r="Y52" i="7" s="1"/>
  <c r="U52" i="7"/>
  <c r="W18" i="7"/>
  <c r="Y18" i="7" s="1"/>
  <c r="V59" i="7"/>
  <c r="U24" i="7"/>
</calcChain>
</file>

<file path=xl/sharedStrings.xml><?xml version="1.0" encoding="utf-8"?>
<sst xmlns="http://schemas.openxmlformats.org/spreadsheetml/2006/main" count="411" uniqueCount="335">
  <si>
    <t>Pengendalian dan Evaluasi terhadap Pelaksanaan Renja SKPD</t>
  </si>
  <si>
    <t>Kabupaten</t>
  </si>
  <si>
    <t>SKPD</t>
  </si>
  <si>
    <t>Periode Renja SKPD</t>
  </si>
  <si>
    <t>Periode RKA SPD</t>
  </si>
  <si>
    <t xml:space="preserve">Kode </t>
  </si>
  <si>
    <t>Urusan/Bidang Urusan Pemerintahan Daerah dan Program/Kegiatan</t>
  </si>
  <si>
    <t>Indikator Kinerja Program/Kegiatan</t>
  </si>
  <si>
    <t>Lokasi</t>
  </si>
  <si>
    <t>Target Capaian Kinerja</t>
  </si>
  <si>
    <t>Dana</t>
  </si>
  <si>
    <t>Kesesuaian</t>
  </si>
  <si>
    <t>Ya</t>
  </si>
  <si>
    <t>Tidak</t>
  </si>
  <si>
    <t>Tindak Lanjut</t>
  </si>
  <si>
    <t>Hasil Tindak Lanjut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</si>
  <si>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</si>
  <si>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</si>
  <si>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</si>
  <si>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</si>
  <si>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</si>
  <si>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</si>
  <si>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</si>
  <si>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</si>
  <si>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</si>
  <si>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</si>
  <si>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</si>
  <si>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</si>
  <si>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</si>
  <si>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No</t>
  </si>
  <si>
    <t>Sasaran</t>
  </si>
  <si>
    <t>Realisasi Kinerja pada triwulan</t>
  </si>
  <si>
    <t>I</t>
  </si>
  <si>
    <t>II</t>
  </si>
  <si>
    <t>III</t>
  </si>
  <si>
    <t>IV</t>
  </si>
  <si>
    <t>12 = 8+9+10+11</t>
  </si>
  <si>
    <t>Rata - rata capaian kinerja (%)</t>
  </si>
  <si>
    <t>Predikat Kinerja</t>
  </si>
  <si>
    <t>Tindak lanjut yang diperlukan dalam triwulan berikutnya **) :</t>
  </si>
  <si>
    <t>K</t>
  </si>
  <si>
    <t>Rp</t>
  </si>
  <si>
    <t>Renja</t>
  </si>
  <si>
    <t>RKA</t>
  </si>
  <si>
    <t>Rencana Tahun 2014 (Tahun rencana)</t>
  </si>
  <si>
    <t>Hasil Pengendalian</t>
  </si>
  <si>
    <t>Prakiraan Maju Rencana Tahun 2015</t>
  </si>
  <si>
    <t xml:space="preserve">: </t>
  </si>
  <si>
    <t>Formulir 8</t>
  </si>
  <si>
    <t>Realisasi Capaian Kinerja dan Anggaran Renja Perangkat Daerah yang dievaluasi</t>
  </si>
  <si>
    <t>Unit Perangkat Daerah Penanggung jawab</t>
  </si>
  <si>
    <t>Sasaran RKPD yang akan dicapai dalam Renja Perangkat Daerah :</t>
  </si>
  <si>
    <t>Tindak lanjut yang diperlukan dalam Renja Perangkat Daerah berikutnya **) :</t>
  </si>
  <si>
    <t>Evaluasi Terhadap Hasil Renja Perangkat Daerah</t>
  </si>
  <si>
    <t>Program / Kegiatan / Sub Kegiatan</t>
  </si>
  <si>
    <t>Indikator Kinerja Program (Outcome) /Kegiatan (Output) / Sub Kegiatan (Sub Output)</t>
  </si>
  <si>
    <t xml:space="preserve">Realisasi Capaian Kinerja Renstra Perangkat Daerah sampai dengan Renja Perangkat Daerah Tahun lalu (n-2) </t>
  </si>
  <si>
    <t xml:space="preserve">Target Kinerja dan Anggaran Renja Perangkat Daerah Tahun berjalan  (Tahun n-1) yang dievaluasi </t>
  </si>
  <si>
    <t>Tingkat Capaian Kinerja dan Realisasi Anggaran Renja Perangkat Daerah yang dievaluasi</t>
  </si>
  <si>
    <t>(Tahun 2021)</t>
  </si>
  <si>
    <t>13 = 12/7x100%</t>
  </si>
  <si>
    <t>14 = 6+12</t>
  </si>
  <si>
    <t>15 = 14/5x100%</t>
  </si>
  <si>
    <t>Program Pemberdayaan Sosial</t>
  </si>
  <si>
    <t>Program Rehabilitasi Sosial</t>
  </si>
  <si>
    <t>Meningkatnya kualitas pelayanan publik</t>
  </si>
  <si>
    <t>Persentase Jalan dalam Kondisi Mantap</t>
  </si>
  <si>
    <t>Lingkup Pemerintah Kota Denpasar</t>
  </si>
  <si>
    <t>Prioritas Daerah</t>
  </si>
  <si>
    <t>Indikator Sasaran</t>
  </si>
  <si>
    <t>Target 2022</t>
  </si>
  <si>
    <t xml:space="preserve">Pendidikan dan Kesehatan </t>
  </si>
  <si>
    <t xml:space="preserve">Meningkatnya kualitas pelayanan pendidikan </t>
  </si>
  <si>
    <t>Indeks Pendidikan</t>
  </si>
  <si>
    <t>Meningkatnya kualitas pelayanan kesehatan </t>
  </si>
  <si>
    <t>Angka Harapan Hidup</t>
  </si>
  <si>
    <t>Sosial dan Ketenagakerjaan</t>
  </si>
  <si>
    <t>Mengurangi kemiskinan</t>
  </si>
  <si>
    <t>Angka Kemiskinan</t>
  </si>
  <si>
    <t>Mengurangi pengangguran</t>
  </si>
  <si>
    <t>Tingkat Pengangguran Terbuka</t>
  </si>
  <si>
    <t>Ekonomi dan Pariwisata</t>
  </si>
  <si>
    <t>Meningkatnya pendapatan masyarakat</t>
  </si>
  <si>
    <t>Rata-Rata Pengeluaran per Kapita</t>
  </si>
  <si>
    <t>Menurunnya kasus kriminalitas</t>
  </si>
  <si>
    <t>Resiko Penduduk Terjadi Tindak Pidana (Crime Rate)</t>
  </si>
  <si>
    <t>Meningkatnya pembangunan kebudayaan</t>
  </si>
  <si>
    <t>Indeks Pembangunan Kebudayaan Kota Denpasar</t>
  </si>
  <si>
    <t>Infrastruktur</t>
  </si>
  <si>
    <t>Meningkatnya Kualitas Infrastruktur</t>
  </si>
  <si>
    <t>Capaian Kualitas Infrastruktur Denpasar</t>
  </si>
  <si>
    <t>Meningkatnya Kualitas Lingkungan Hidup</t>
  </si>
  <si>
    <t>Indeks Kualitas Lingkungan Hidup</t>
  </si>
  <si>
    <t>Reformasi Birokrasi</t>
  </si>
  <si>
    <t>Rata-Rata SKM</t>
  </si>
  <si>
    <t>Meningkatnya kapasitas dan akuntabilitas kinerja birokrasi</t>
  </si>
  <si>
    <t>Predikat SAKIP</t>
  </si>
  <si>
    <t>BB (75,50)</t>
  </si>
  <si>
    <t>Opini BPK</t>
  </si>
  <si>
    <t>WTP</t>
  </si>
  <si>
    <t>Sasaran Daerah</t>
  </si>
  <si>
    <t>Program</t>
  </si>
  <si>
    <t>Indikator</t>
  </si>
  <si>
    <t>Program Pengelolaan Pendidikan</t>
  </si>
  <si>
    <t>Rata-Rata Lama Sekolah</t>
  </si>
  <si>
    <t>Harapan Lama Sekolah</t>
  </si>
  <si>
    <t>Program Pemberdayaan Masyarakat Bidang Kesehatan</t>
  </si>
  <si>
    <t xml:space="preserve">Persentase Rumah Tangga yang melaksanakan PHBS (Perilaku Hidup Bersih Sehat) </t>
  </si>
  <si>
    <t>Program Pemenuhan Upaya Kesehatan Perorangan Dan Upaya Kesehatan Masyarakat</t>
  </si>
  <si>
    <t>Indeks Kepuasan Masyarakat</t>
  </si>
  <si>
    <t>Angka kematian ibu per 100.000 Kelahiran Hidup</t>
  </si>
  <si>
    <t>Angka kematian bayi per 1.000 Kelahiran Hidup</t>
  </si>
  <si>
    <t>Persentase Balita stunting</t>
  </si>
  <si>
    <t>Persentase KLB  yang dilakukan penyelidikan epidemiologi &lt; 24 jam</t>
  </si>
  <si>
    <t>Program Peningkatan Kapasitas Sumber Daya Manusia Kesehatan</t>
  </si>
  <si>
    <t xml:space="preserve">Persentase tenaga kesehatan yang praktek memiliki ijin </t>
  </si>
  <si>
    <t>Program Sediaan Farmasi, Alat Kesehatan Dan Makanan Minuman</t>
  </si>
  <si>
    <t>Persentase TPM Memenuhi syarat</t>
  </si>
  <si>
    <t>Persentase pemberdayaan kelembagaan kesejahteraan sosial</t>
  </si>
  <si>
    <t>Persentase pemenuhan rehabilitasi kesejahteraan sosial</t>
  </si>
  <si>
    <t>Program Perlindungan Dan Jaminan Sosial</t>
  </si>
  <si>
    <t>Persentase pemenuhan perlindungan jaminan sosial bagi PPKS</t>
  </si>
  <si>
    <t>Program Perumahan dan Kawasan Permukiman Kumuh</t>
  </si>
  <si>
    <t>Persentase Rumah Layak Huni</t>
  </si>
  <si>
    <t>Program Pelatihan Kerja Dan Produktivitas Tenaga Kerja</t>
  </si>
  <si>
    <t>Persentase tenaga kerja yang mendapat pelatihan berbasis kompetensi</t>
  </si>
  <si>
    <t>Program Pengembangan Sumber Daya Pariwisata Dan Ekonomi Kreatif</t>
  </si>
  <si>
    <t>Jumlah SDM Pariwisata dan Ekonomi Kreatif yang kompeten</t>
  </si>
  <si>
    <t>Program Pengembangan UMKM</t>
  </si>
  <si>
    <t>Persentase Peningkatan Usaha Mikro</t>
  </si>
  <si>
    <t>Program Pemberdayaan Dan Perlindungan Koperasi</t>
  </si>
  <si>
    <t>Persentase Meningkatnya Volume Usaha Koperasi</t>
  </si>
  <si>
    <t>Program Pendidikan Dan Latihan Perkoperasian</t>
  </si>
  <si>
    <t>Persentase peningkatan pengelola KUMKM yang bersertifikat</t>
  </si>
  <si>
    <t>Program Pemberdayaan Usaha Menengah, Usaha Kecil, Dan Usaha Mikro (UMKM)</t>
  </si>
  <si>
    <t>Persentase UMKM yang memenuhi syarat perbankan</t>
  </si>
  <si>
    <t>Program Pengembangan Iklim Penanaman Modal</t>
  </si>
  <si>
    <t>Persentase kesepakatan kemitrausahaan dibandingkan dengan pengusaha yang ikut machmaking / temu usaha</t>
  </si>
  <si>
    <t>Program Promosi Penanaman Modal</t>
  </si>
  <si>
    <t>Persentase Peningkatan Jumlah investor di Kota Denpasar</t>
  </si>
  <si>
    <t>Program Pengendalian Pelaksanaan Penanaman Modal</t>
  </si>
  <si>
    <t>Persentase perusahaan yang sudah melaporkan LKPM (Laporan Koordinasi Penanaman Modal)</t>
  </si>
  <si>
    <t>Program Peningkatan Daya Tarik Destinasi Pariwisata</t>
  </si>
  <si>
    <t>Jumlah destinasi yang siap dipasarkan</t>
  </si>
  <si>
    <t>Program Pemasaran Pariwisata</t>
  </si>
  <si>
    <t>Persentase meningkatnya kunjungan wisatawan</t>
  </si>
  <si>
    <t>Program Pengembangan Ekspor</t>
  </si>
  <si>
    <t>Ekspor Bersih Perdagangan</t>
  </si>
  <si>
    <t>Program Peningkatan Sarana Distribusi Perdagangan</t>
  </si>
  <si>
    <t>Cakupan bina kelompok pedagang/usaha informal</t>
  </si>
  <si>
    <t>Program Penggunaan Dan Pemasaran Produk Dalam Negeri</t>
  </si>
  <si>
    <t>Peningkatan rata-rata omset produk IKM/UKM yang difasilitasi</t>
  </si>
  <si>
    <t>Program Pemberdayaan dan Pengawasan Organisasi Kemasyarakatan</t>
  </si>
  <si>
    <t>Persentase Ormas/LSM yang terdaftar dan aktif</t>
  </si>
  <si>
    <t>Program Peningkatan Kewaspadaan Nasional Dan Peningkatan Kualitas Dan Fasilitasi Penanganan Konflik Sosial</t>
  </si>
  <si>
    <t>Persentase Penurunan Konflik Sosial</t>
  </si>
  <si>
    <t>Program Pengembangan Kebudayaan</t>
  </si>
  <si>
    <t>Persentase Tingkat Partisipasi Lembaga Tradisional dalam Event Pelestarian Kebudayaan</t>
  </si>
  <si>
    <t>Program Pengembangan Kesenian Tradisional</t>
  </si>
  <si>
    <t>Persentase Partisipasi Pelaku Seni dalam Pengembangan Kesenian Tradisional</t>
  </si>
  <si>
    <t>Program Pembinaan Sejarah</t>
  </si>
  <si>
    <t>Persentase Media Informasi dan Data  Sejarah yang  bisa diakses Masyarakat</t>
  </si>
  <si>
    <t>Program Pelestarian Dan Pengelolaan Cagar Budaya</t>
  </si>
  <si>
    <t>Persentase Cagar Budaya yang dilestarikan</t>
  </si>
  <si>
    <t>Program Pembinaan Perpustakaan</t>
  </si>
  <si>
    <t>Persentase Pemustaka Pertahun</t>
  </si>
  <si>
    <t>Program Pengarusutamaan Gender Dan Pemberdayaan Perempuan</t>
  </si>
  <si>
    <t>Persentase Partisipasi Perempuan dalam Bidang Politik, Hukum, Sosial dan Ekonomi</t>
  </si>
  <si>
    <t>Program Penyelenggaraan Jalan</t>
  </si>
  <si>
    <t>Program Penyelenggaraan Lalu Lintas Dan Angkutan Jalan (LLAJ)</t>
  </si>
  <si>
    <t>Peningkatan Kinerja Pelayanan Transportasi Perkotaan</t>
  </si>
  <si>
    <t>Program Pengelolaan Dan Pengembangan Sistem Drainase</t>
  </si>
  <si>
    <t>Persentase panjang saluran drainase berfungsi normal</t>
  </si>
  <si>
    <t>Program Peningkatan Prasarana, Sarana Dan Utilitas Umum (PSU)</t>
  </si>
  <si>
    <t xml:space="preserve">Persentase  PSU Perumahan dan Kawasan Permukiman yang terpelihara </t>
  </si>
  <si>
    <t>Program Kawasan Permukiman</t>
  </si>
  <si>
    <t>Persentase kawasan kumuh</t>
  </si>
  <si>
    <t>Program Pengelolaan Dan Pengembangan Sistem Air Limbah</t>
  </si>
  <si>
    <t xml:space="preserve">Persentase Rumah Tangga Terakses Instalasi Pengolahan Air Limbah </t>
  </si>
  <si>
    <t>Program Pengelolaan Dan Pengembangan Sistem Penyediaan Air Minum</t>
  </si>
  <si>
    <t xml:space="preserve">Persentase Rumah Tangga yang Mendapatkan Akses Air Minum </t>
  </si>
  <si>
    <t>Program Perencanaan Lingkungan Hidup</t>
  </si>
  <si>
    <t>Persentase tersusunnya dokumen RPPLH</t>
  </si>
  <si>
    <t>Program Pengendalian Pencemaran dan/atau kerusakan lingkungan hidup</t>
  </si>
  <si>
    <t>Persentase peningkatan kualitas air</t>
  </si>
  <si>
    <t>Persentase peningkatan kualitas udara</t>
  </si>
  <si>
    <t>Persentase peningkatan kualitas tutupan lahan</t>
  </si>
  <si>
    <t>Program Pengelolaan Keanekaragaman Hayati (Kehati)</t>
  </si>
  <si>
    <t>Persentase pemeliharaan pohon perindang</t>
  </si>
  <si>
    <t>Persentase taman yang terpelihara</t>
  </si>
  <si>
    <t>Program Pengendalian bahan berbahaya dan beracun (B3) dan limbah bahan berbahaya dan beracun (limbah b3)</t>
  </si>
  <si>
    <t>Persentase TPS limbah b3 yang memenuhi syarat</t>
  </si>
  <si>
    <t>Program pembinaan dan pengawasan terhadap izin lingkungan dan izin perlindungan dan pengelolaan lingkungan hidup (PPLH)</t>
  </si>
  <si>
    <t>Persentase ketaatan penanggung jawab usaha/ kegiatan yang diawasi ketaatannya terhadap Persetujuan Lingkungan yang diterbitkan oleh Pemerintah Kota Denpasar</t>
  </si>
  <si>
    <t>Program penghargaan lingkungan hidup untuk masyarakat</t>
  </si>
  <si>
    <t>Persentase pemberian penghargaan lingkungan hidup</t>
  </si>
  <si>
    <t>Program Pengelolaan Persampahan</t>
  </si>
  <si>
    <t>Persentase volume sampah yang dikelola</t>
  </si>
  <si>
    <t>Program Pengembangan Sistem Dan Pengelolaan Persampahan Regional</t>
  </si>
  <si>
    <t>Persentase sarana persampahan yang memadai</t>
  </si>
  <si>
    <t>Program Penyelenggaraan Pemerintahan Dan Pelayanan Publik</t>
  </si>
  <si>
    <t xml:space="preserve">Nilai Survey Kepuasan Masyarakat (SKM)  di Kecamatan Denpasar Barat </t>
  </si>
  <si>
    <t>Nilai Survey Kepuasan Masyarakat (SKM)  di Kecamatan Denpasar Selatan</t>
  </si>
  <si>
    <t>Nilai Survey Kepuasan Masyarakat (SKM)  di Kecamatan Denpasar Timur</t>
  </si>
  <si>
    <t>Nilai Survey Kepuasan Masyarakat (SKM)  di Kecamatan Denpasar Utara</t>
  </si>
  <si>
    <t>Program Pendaftaran Penduduk</t>
  </si>
  <si>
    <t>Persentase penduduk ber -KK</t>
  </si>
  <si>
    <t>Program Pelayanan Penanaman Modal</t>
  </si>
  <si>
    <t>Nilai survey kepuasan masyarakat</t>
  </si>
  <si>
    <t>Program Penyelenggaraan Pengawasan</t>
  </si>
  <si>
    <t>Kapabilitas APIP</t>
  </si>
  <si>
    <t>Maturitas SPIP</t>
  </si>
  <si>
    <t>Program Perumusan Kebijakan, Pendampingan Dan Asistensi</t>
  </si>
  <si>
    <t xml:space="preserve">Persentase OPD yang didampingi / yang mendapat pendampingan </t>
  </si>
  <si>
    <t>Program Perencanaan, Pengendalian dan Evaluasi Pembangunan Daerah</t>
  </si>
  <si>
    <t>Persentase Keselarasan Dokumen Perencanaan Kota dengan Dokumen Perencanaan Provinsi dan Pusat</t>
  </si>
  <si>
    <t>Persentase konsistensi penjabaran Program RPJMD pada RKPD</t>
  </si>
  <si>
    <t>Program Koordinasi dan Sinkronisasi Perencanaan Pembangunan Daerah</t>
  </si>
  <si>
    <t>Persentase Keselarasan Dokumen Perencanaan Perangkat Daerah Dengan Dokumen Perencanaan Kota Denpasar</t>
  </si>
  <si>
    <t>Persentase Konsistensi Penjabaran Program/Kegiatan pada Renstra Perangkat Daerah kedalam Renja Perangkat Daerah</t>
  </si>
  <si>
    <t>Program Kepegawaian Daerah</t>
  </si>
  <si>
    <t>Indeks Sistem Merit</t>
  </si>
  <si>
    <t>Program Pengembangan Sumber Daya Manusia</t>
  </si>
  <si>
    <t>Indeks Profesionalitas ASN</t>
  </si>
  <si>
    <t>Program Pengelolaan Keuangan Daerah</t>
  </si>
  <si>
    <t>Indeks Kinerja Pengelolaan Keuangan Daerah (kategori baik)</t>
  </si>
  <si>
    <t>Program Pengelolaan Barang Milik Daerah</t>
  </si>
  <si>
    <t>Indeks Pengelolaan Barang Milik Daerah (kategori baik)</t>
  </si>
  <si>
    <t>Program Pengelolaan Pendapatan Daerah</t>
  </si>
  <si>
    <t>Kontribusi PAD Terhadap Pendapatan Daerah</t>
  </si>
  <si>
    <t>Target Renstra Perangkat Daerah pada Tahun 2021 - 2026  (Akhir Periode Renstra Perangkat Daerah)</t>
  </si>
  <si>
    <t>(Tahun 2026)</t>
  </si>
  <si>
    <t>(Tahun 2022)</t>
  </si>
  <si>
    <t>Realisasi Kinerja dan Anggaran Renstra Perangkat Daerah s/d tahun 2022 (Akhir tahun pelaksanaan Renja Perangkat Daerah tahun 2022)</t>
  </si>
  <si>
    <t>Tingkat Capaian Kinerja dan Realisasi Anggaran Renstra Perangkat Daerah s/d tahun 2022 (%)</t>
  </si>
  <si>
    <t>URUSAN KEWILAYAHAN</t>
  </si>
  <si>
    <t>Program Penunjang Urusan Pemerintahan Daerah Kab/Kota</t>
  </si>
  <si>
    <t>Persentase Capaian Keberhasilan  Urusan Pemerintahan Daerah</t>
  </si>
  <si>
    <t>Kegiatan Administrasi Keuangan Perangkat Daerah</t>
  </si>
  <si>
    <t>Terpenuhinya Administrasi Keuangan Perangkat Daerah</t>
  </si>
  <si>
    <t>Penyediaan Gaji dan Tunjangan ASN</t>
  </si>
  <si>
    <t>Terbayarnya Gaji dan Tunjangan ASN</t>
  </si>
  <si>
    <t>Kegiatan Administrasi Umum Perangkat Daerah</t>
  </si>
  <si>
    <t>Terpenuhinya Administrasi Umum Perangkat Daerah</t>
  </si>
  <si>
    <t>Penyediaan Komponen Instalasi Listrik/Penerangan Bangunan Kantor</t>
  </si>
  <si>
    <t>Terpenuhinya Kebutuhan Komponen Instalasi Listrik/Penerangan Bangunan Kantor</t>
  </si>
  <si>
    <t>Penyediaan Peralatan dan Perlengkapan Kantor</t>
  </si>
  <si>
    <t>Terpenuhinya Kebutuhan  Peralatan dan Perlengkapan Kantor</t>
  </si>
  <si>
    <t>Penyediaan Peralatan Rumah Tangga</t>
  </si>
  <si>
    <t>Terpenuhinya Kebutuhan Peralatan Rumah Tangga</t>
  </si>
  <si>
    <t>Penyediaan Bahan Logistik Kantor</t>
  </si>
  <si>
    <t>Tersedianya Bahan Logistik Kantor</t>
  </si>
  <si>
    <t>Penyediaan Barang Cetakan dan Penggandaan</t>
  </si>
  <si>
    <t>Terpenuhinya Kebutuhan  Barang Cetakan dan Penggandaan</t>
  </si>
  <si>
    <t>Penyediaan Bahan Bacaan dan Peraturan Perundang-Undangan</t>
  </si>
  <si>
    <t>Tersedianya Surat Kabar/Majalah</t>
  </si>
  <si>
    <t>Kegiatan Pengadaan Barang Milik Daerah Penunjang Urusan Pemerintah Daerah</t>
  </si>
  <si>
    <t>Tersedianya Barang Milik Daerah</t>
  </si>
  <si>
    <t>Pengadaan Peralatan dan Mesin Lainnya</t>
  </si>
  <si>
    <t>Tersedianya Peralatan dan Mesin Lainnya</t>
  </si>
  <si>
    <t>Pengadaan Sarana dan Prasarana Gedung Kantor Atau Bangunan Lainnya</t>
  </si>
  <si>
    <t>Tersedianya Gedung Kantor atau Bangunan Lainnya yang siap Pakai</t>
  </si>
  <si>
    <t>Kegiatan Penyediaan Jasa Penunjang Urusan Pemerintah Daerah</t>
  </si>
  <si>
    <t>Tersedianya Jasa Penunjang Urusan Pemerintahan Daerah</t>
  </si>
  <si>
    <t>Penyediaan Jasa Komunikasi,Sumber Daya Air dan Listrik</t>
  </si>
  <si>
    <t>Terpenuhinya Kebutuhan Jasa Komunikasi, Sumber Daya Air dan Listrik</t>
  </si>
  <si>
    <t>Penyediaan Jasa Peralatan dan Perlengkapan Kantor</t>
  </si>
  <si>
    <t>Terpenuhinya Kebutuhan Jasa Peralatan dan Perlengkapan Kantor</t>
  </si>
  <si>
    <t>Penyediaan Jasa Pelayanan Umum Kantor</t>
  </si>
  <si>
    <t>Terpenuhinya Kebutuhan Jasa Pelayanan Umum Kantor</t>
  </si>
  <si>
    <t>Kegiatan Pemeliharaan Barang Milik Daerah Penunjang Urusan Pemerintah Daerah</t>
  </si>
  <si>
    <t xml:space="preserve">Terpeliharanya  Barang Milik Daerah </t>
  </si>
  <si>
    <t>Penyediaan Jasa Pemeliharaan Biaya Pemeliharaan dan Pajak Perorangan Dinas atau Kendaaran Jabatan</t>
  </si>
  <si>
    <t>Terpenuhinya Kebutuhan Pemeliharaan, Biaya Pemeliharaan dan Pajak Kendaraan Perorangan Dinas Atau Kendaraan Dinas Jabatan</t>
  </si>
  <si>
    <t>Penyediaan Jasa Pemeliharaan Biaya Pemeliharaan dan Pajak dan Perizinan Kendaraan Dinas Operasional atau Lapangan</t>
  </si>
  <si>
    <t>Terpenuhinya Kebutuhan Pemeliharaan, Biaya Pemeliharaan, Pajak, dan Perizinan Kendaraan Dinas Operasional atau Lapangan</t>
  </si>
  <si>
    <t>Pemeliharaan/ Rehabilitasi Gedung Kantor dan Bangunan Lainnya</t>
  </si>
  <si>
    <t>Terpenuhinya Kebutuhan Pemeliharaan/Rehabilitasi Gedung Kantor dan Bangunan Lainnya</t>
  </si>
  <si>
    <t>Pemeliharaan/Rehabilitasi Sarana dan Prasarana Gedung Kantor atau Bangunan Lainnya</t>
  </si>
  <si>
    <t>Sarana dan Prasarana Gedung Kantor dalam Kondisi Baik</t>
  </si>
  <si>
    <t>Program Penyelenggaraan Pemerintahan dan Pelayanan Publik</t>
  </si>
  <si>
    <t xml:space="preserve">Nilai Survey Kepuasan (SKM) Masyarakat di Kecamatan Denpasar Barat </t>
  </si>
  <si>
    <t>Kegiatan Koordinasi Penyelenggaraan Pemerintahan di Tingkat Kecamatan</t>
  </si>
  <si>
    <t>Terlaksananya Koordinasi di tingkat Kecamatan</t>
  </si>
  <si>
    <t>Koordinasi/Sinergi Perencanaan dan Pelaksanaan Kegiatan Pemerintahan dengan Perangkat Daerah dan Instansi Vertikal Terkait</t>
  </si>
  <si>
    <t>Jumlah Dokumen yang dihasilkan</t>
  </si>
  <si>
    <t>Peningkatan Efektifitas Kegiatan Pemerintahan di Tingkat Kecamatan</t>
  </si>
  <si>
    <t>Terlaksananya Kegiatan Lomba PSN, PKK dan posyandu</t>
  </si>
  <si>
    <t>Kegiatan Pelaksanaan Urusan Pemerintahan yang dilimpahkan Kepada Camat</t>
  </si>
  <si>
    <t>Terlaksananya Pelimpahan Urusan Pemerintahan Kepada Camat</t>
  </si>
  <si>
    <t>Pelaksanaan Urusan Pemerintahan yang terkait dengan Pelayanan Perizinan Non Usaha</t>
  </si>
  <si>
    <t>Survey Kepuasan Masyarakat</t>
  </si>
  <si>
    <t>Program Pemberdayaan Masyarakat Desa dan Kelurahan</t>
  </si>
  <si>
    <t>Persentase Tingkat Partisipasi Masyarakat Desa/Kelurahan Dalam Pembangunan Daerah</t>
  </si>
  <si>
    <t>Kegiatan Pemberdayaan Kelurahan</t>
  </si>
  <si>
    <t>Terlaksananya Kegiatan Pemberdayaan di Kelurahan</t>
  </si>
  <si>
    <t>Pembangunan Sarana dan Prasarana Kelurahan</t>
  </si>
  <si>
    <t>Terlaksananya Pembangunan Sarana Prasarana di Kelurahan</t>
  </si>
  <si>
    <t>Pemberdayaan Masyarakat di Kelurahan</t>
  </si>
  <si>
    <t>Terlaksananya Pemberdayaan Masyarakat di Kelurahan</t>
  </si>
  <si>
    <t>Program Koordinasi Ketentraman dan Ketertiban Umum</t>
  </si>
  <si>
    <t>Persentase Tingkat Ketentraman dan Ketertiban Umum</t>
  </si>
  <si>
    <t>Kegiatan Koordinasi Penerapan dan Penegakan Peraturan Daerah dan Peraturan Kepala Daerah</t>
  </si>
  <si>
    <t>Terlaksananya Koordinasi Penerapan dan Penegakan Perda dan Perkada</t>
  </si>
  <si>
    <t>Koordinasi/Sinergi dengan Perangkat Daerah yang Tugas dan Fungsinya di Bidang Penegakan Peraturan Perundang-undangan dan/atau Kepolisian Negara Republik Indonesia</t>
  </si>
  <si>
    <t>Jumlah Pendataan Penduduk yang dilaksanakan, Jumlah Patroli Lingkungan yang dilaksanakan</t>
  </si>
  <si>
    <t>Program Pembinaan dan Pengawasan Pemerintahan Desa</t>
  </si>
  <si>
    <t>Persentase Desa yang dapat Pembinaan dan Pengawasan</t>
  </si>
  <si>
    <t>Kegiatan Fasilitasi, Rekomendasi dan Koordinasi Pembinaan dan Pengawasan Pemerintahan Desa</t>
  </si>
  <si>
    <t>Terlaksananya Pembinaan dan Pengawasan Desa</t>
  </si>
  <si>
    <t>Fasilitasi Pengelolaan Keuangan Desa dan Pendayagunaan Aset Desa</t>
  </si>
  <si>
    <t>Terlaksananya Evaluasi RAPBDes</t>
  </si>
  <si>
    <t>NIP: 19790411 199802 1 001</t>
  </si>
  <si>
    <t>1.</t>
  </si>
  <si>
    <t>2.</t>
  </si>
  <si>
    <t>3.</t>
  </si>
  <si>
    <t>4.</t>
  </si>
  <si>
    <t>5.</t>
  </si>
  <si>
    <t>Pemeliharaan/Rehabilitasi Sarana dan Prasarana Pendukung  Gedung Kantor atau Bangunan Lainnya</t>
  </si>
  <si>
    <t>6.</t>
  </si>
  <si>
    <t>Program Penyelenggaraan Urusan Pemerintahan Umum</t>
  </si>
  <si>
    <t>Kegiatan Penyelenggaraan Urusan Pemerintahan Umum sesuai Penugasan Kepala Daerah</t>
  </si>
  <si>
    <t>Pembinaan Wawasan Kebangsaan dan Ketahanan Nasional dalam rangka Memantapkan Pengamalan Pancasila Pelaksanaan Undang-Undang Dasar Negara Republik Indonesia Tahun 1945, Pelestarian Bhinneka Tunggal Ika serta Pemertahanan dan Pemeliharaan Keutuhan Negara Kesatuan Republik Indonesia</t>
  </si>
  <si>
    <t>Persentase Kewenangan Pemerintah yang dilaksanakan di Kecamatan</t>
  </si>
  <si>
    <t>Terlaksananya Kegiatan HUT RI dan HUT Kota Denpasar</t>
  </si>
  <si>
    <t>KECAMATAN DENPASAR BARAT</t>
  </si>
  <si>
    <t>Meningkatnya Penyelenggaraan Pemerintahan dan Pelayanan Publik</t>
  </si>
  <si>
    <t>Faktor pendorong keberhasilan kinerja : Adanya sistem kerja yang memudahkan pengecekan realisasi anggaran</t>
  </si>
  <si>
    <t>Faktor penghambat pencapaian kinerja : Keterlambatan dalam pengajuan amprahan belanja di masing-masing kegiatan</t>
  </si>
  <si>
    <t>CAMAT DENPASAR BARAT</t>
  </si>
  <si>
    <t>Ida Bagus Made Purwanasara, S.STP.,M.Si</t>
  </si>
  <si>
    <t>Periode Pelaksanaan : Triwulan IV Tahun 2022</t>
  </si>
  <si>
    <t>Denpasar, 02 Januari 2023</t>
  </si>
  <si>
    <t>Pembina Tk. 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</si>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</sst>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-* #,##0_-;\-* #,##0_-;_-* &quot;-&quot;??_-;_-@_-"/>
    <numFmt numFmtId="170" formatCode="_(&quot;Rp&quot;* #,##0.00_);_(&quot;Rp&quot;* \(#,##0.00\);_(&quot;Rp&quot;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11"/>
      <color theme="1"/>
      <name val="Calibri"/>
      <family val="2"/>
      <charset val="1"/>
      <scheme val="minor"/>
    </font>
    <font>
      <sz val="10"/>
      <color theme="1"/>
      <name val="Tahoma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0"/>
      <name val="Calibri"/>
      <scheme val="minor"/>
    </font>
    <font>
      <b/>
      <sz val="1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64"/>
      <name val="Calibri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>
      <alignment vertical="center"/>
    </xf>
    <xf numFmtId="164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4" fillId="0" borderId="0">
      <alignment vertical="top"/>
    </xf>
    <xf numFmtId="0" fontId="1" fillId="0" borderId="0"/>
    <xf numFmtId="0" fontId="11" fillId="0" borderId="0"/>
    <xf numFmtId="0" fontId="14" fillId="0" borderId="0">
      <alignment vertical="top"/>
    </xf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top"/>
    </xf>
    <xf numFmtId="0" fontId="12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14" fillId="0" borderId="0">
      <alignment vertical="top"/>
    </xf>
    <xf numFmtId="0" fontId="1" fillId="0" borderId="0"/>
    <xf numFmtId="0" fontId="11" fillId="0" borderId="0"/>
    <xf numFmtId="0" fontId="15" fillId="0" borderId="0"/>
    <xf numFmtId="0" fontId="11" fillId="0" borderId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6" fontId="0" fillId="0" borderId="1" xfId="1" applyNumberFormat="1" applyFont="1" applyBorder="1" applyAlignment="1">
      <alignment vertical="top"/>
    </xf>
    <xf numFmtId="167" fontId="0" fillId="0" borderId="1" xfId="1" applyNumberFormat="1" applyFont="1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quotePrefix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9" fontId="5" fillId="0" borderId="1" xfId="0" applyNumberFormat="1" applyFont="1" applyFill="1" applyBorder="1" applyAlignment="1">
      <alignment vertical="top"/>
    </xf>
    <xf numFmtId="165" fontId="5" fillId="0" borderId="1" xfId="1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vertical="top"/>
    </xf>
    <xf numFmtId="165" fontId="5" fillId="4" borderId="1" xfId="1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1" fontId="5" fillId="4" borderId="1" xfId="2" applyFont="1" applyFill="1" applyBorder="1" applyAlignment="1">
      <alignment vertical="top"/>
    </xf>
    <xf numFmtId="168" fontId="5" fillId="0" borderId="1" xfId="2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1" xfId="2" applyNumberFormat="1" applyFont="1" applyBorder="1" applyAlignment="1">
      <alignment vertical="top"/>
    </xf>
    <xf numFmtId="2" fontId="0" fillId="2" borderId="1" xfId="0" applyNumberFormat="1" applyFill="1" applyBorder="1" applyAlignment="1">
      <alignment vertical="top"/>
    </xf>
    <xf numFmtId="41" fontId="4" fillId="5" borderId="1" xfId="2" applyFont="1" applyFill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10" fontId="18" fillId="0" borderId="19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0" fillId="0" borderId="17" xfId="0" applyBorder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vertical="top"/>
    </xf>
    <xf numFmtId="2" fontId="4" fillId="3" borderId="1" xfId="0" applyNumberFormat="1" applyFont="1" applyFill="1" applyBorder="1" applyAlignment="1">
      <alignment vertical="top"/>
    </xf>
    <xf numFmtId="0" fontId="1" fillId="0" borderId="0" xfId="0" applyFont="1" applyAlignment="1">
      <alignment horizontal="center"/>
    </xf>
    <xf numFmtId="41" fontId="4" fillId="4" borderId="1" xfId="2" applyFont="1" applyFill="1" applyBorder="1" applyAlignment="1">
      <alignment vertical="top"/>
    </xf>
    <xf numFmtId="41" fontId="23" fillId="4" borderId="1" xfId="2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vertical="top"/>
    </xf>
    <xf numFmtId="165" fontId="5" fillId="3" borderId="1" xfId="1" applyFont="1" applyFill="1" applyBorder="1" applyAlignment="1">
      <alignment vertical="top"/>
    </xf>
    <xf numFmtId="41" fontId="4" fillId="3" borderId="1" xfId="2" applyFont="1" applyFill="1" applyBorder="1" applyAlignment="1">
      <alignment vertical="top"/>
    </xf>
    <xf numFmtId="168" fontId="5" fillId="3" borderId="1" xfId="2" applyNumberFormat="1" applyFont="1" applyFill="1" applyBorder="1" applyAlignment="1">
      <alignment vertical="top"/>
    </xf>
    <xf numFmtId="0" fontId="23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vertical="top"/>
    </xf>
    <xf numFmtId="41" fontId="6" fillId="0" borderId="0" xfId="0" applyNumberFormat="1" applyFont="1" applyBorder="1" applyAlignment="1">
      <alignment vertical="top"/>
    </xf>
    <xf numFmtId="41" fontId="4" fillId="0" borderId="1" xfId="0" applyNumberFormat="1" applyFont="1" applyBorder="1" applyAlignment="1">
      <alignment vertical="top"/>
    </xf>
    <xf numFmtId="41" fontId="22" fillId="0" borderId="1" xfId="0" applyNumberFormat="1" applyFont="1" applyBorder="1" applyAlignment="1">
      <alignment vertical="top"/>
    </xf>
    <xf numFmtId="41" fontId="4" fillId="3" borderId="1" xfId="0" applyNumberFormat="1" applyFont="1" applyFill="1" applyBorder="1" applyAlignment="1">
      <alignment vertical="top"/>
    </xf>
    <xf numFmtId="9" fontId="4" fillId="3" borderId="1" xfId="53" applyFont="1" applyFill="1" applyBorder="1" applyAlignment="1">
      <alignment vertical="top"/>
    </xf>
    <xf numFmtId="9" fontId="4" fillId="0" borderId="1" xfId="53" applyFont="1" applyBorder="1" applyAlignment="1">
      <alignment vertical="top"/>
    </xf>
    <xf numFmtId="9" fontId="5" fillId="0" borderId="1" xfId="53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9" fontId="4" fillId="0" borderId="1" xfId="0" applyNumberFormat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164" fontId="4" fillId="0" borderId="1" xfId="2" applyNumberFormat="1" applyFont="1" applyBorder="1" applyAlignment="1">
      <alignment vertical="top"/>
    </xf>
    <xf numFmtId="168" fontId="4" fillId="0" borderId="1" xfId="2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64" fontId="4" fillId="3" borderId="1" xfId="2" applyNumberFormat="1" applyFont="1" applyFill="1" applyBorder="1" applyAlignment="1">
      <alignment vertical="top"/>
    </xf>
    <xf numFmtId="9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9" fontId="0" fillId="2" borderId="1" xfId="53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41" fontId="6" fillId="0" borderId="0" xfId="0" applyNumberFormat="1" applyFont="1" applyAlignment="1">
      <alignment vertical="top"/>
    </xf>
    <xf numFmtId="41" fontId="6" fillId="0" borderId="0" xfId="2" applyFont="1" applyAlignment="1">
      <alignment vertical="top"/>
    </xf>
    <xf numFmtId="41" fontId="5" fillId="0" borderId="1" xfId="2" applyFont="1" applyFill="1" applyBorder="1" applyAlignment="1">
      <alignment vertical="top"/>
    </xf>
    <xf numFmtId="41" fontId="0" fillId="0" borderId="0" xfId="0" applyNumberFormat="1"/>
    <xf numFmtId="41" fontId="4" fillId="0" borderId="1" xfId="0" applyNumberFormat="1" applyFont="1" applyFill="1" applyBorder="1" applyAlignment="1">
      <alignment vertical="top"/>
    </xf>
    <xf numFmtId="9" fontId="4" fillId="0" borderId="1" xfId="53" applyFont="1" applyFill="1" applyBorder="1" applyAlignment="1">
      <alignment vertical="top"/>
    </xf>
    <xf numFmtId="9" fontId="4" fillId="0" borderId="1" xfId="0" applyNumberFormat="1" applyFont="1" applyFill="1" applyBorder="1" applyAlignment="1">
      <alignment vertical="top"/>
    </xf>
    <xf numFmtId="41" fontId="5" fillId="0" borderId="1" xfId="0" applyNumberFormat="1" applyFont="1" applyFill="1" applyBorder="1" applyAlignment="1">
      <alignment vertical="top"/>
    </xf>
    <xf numFmtId="1" fontId="6" fillId="0" borderId="0" xfId="0" applyNumberFormat="1" applyFont="1" applyAlignment="1">
      <alignment vertical="top"/>
    </xf>
    <xf numFmtId="1" fontId="5" fillId="0" borderId="1" xfId="2" applyNumberFormat="1" applyFont="1" applyBorder="1" applyAlignment="1">
      <alignment vertical="top"/>
    </xf>
    <xf numFmtId="1" fontId="4" fillId="3" borderId="1" xfId="2" applyNumberFormat="1" applyFont="1" applyFill="1" applyBorder="1" applyAlignment="1">
      <alignment vertical="top"/>
    </xf>
    <xf numFmtId="1" fontId="4" fillId="0" borderId="1" xfId="2" applyNumberFormat="1" applyFont="1" applyBorder="1" applyAlignment="1">
      <alignment vertical="top"/>
    </xf>
    <xf numFmtId="0" fontId="0" fillId="0" borderId="0" xfId="0" applyBorder="1" applyAlignment="1">
      <alignment horizontal="left" vertical="top"/>
    </xf>
    <xf numFmtId="41" fontId="4" fillId="5" borderId="1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2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vertical="top" wrapText="1"/>
    </xf>
  </cellXfs>
  <cellStyles count="54">
    <cellStyle name="Comma" xfId="1" builtinId="3"/>
    <cellStyle name="Comma [0]" xfId="2" builtinId="6"/>
    <cellStyle name="Comma [0] 10 3" xfId="7"/>
    <cellStyle name="Comma [0] 2" xfId="4"/>
    <cellStyle name="Comma [0] 2 2" xfId="8"/>
    <cellStyle name="Comma [0] 2 2 2" xfId="9"/>
    <cellStyle name="Comma [0] 24" xfId="10"/>
    <cellStyle name="Comma [0] 3" xfId="6"/>
    <cellStyle name="Comma [0] 35" xfId="11"/>
    <cellStyle name="Comma [0] 4" xfId="12"/>
    <cellStyle name="Comma 17" xfId="13"/>
    <cellStyle name="Comma 2" xfId="14"/>
    <cellStyle name="Comma 2 10" xfId="15"/>
    <cellStyle name="Comma 2 2" xfId="16"/>
    <cellStyle name="Comma 2 2 2" xfId="17"/>
    <cellStyle name="Comma 2 4" xfId="18"/>
    <cellStyle name="Comma 2 4 10" xfId="19"/>
    <cellStyle name="Comma 24" xfId="20"/>
    <cellStyle name="Comma 3" xfId="21"/>
    <cellStyle name="Comma 3 80" xfId="22"/>
    <cellStyle name="Comma 5" xfId="23"/>
    <cellStyle name="Comma 7" xfId="24"/>
    <cellStyle name="Currency 5" xfId="25"/>
    <cellStyle name="Normal" xfId="0" builtinId="0"/>
    <cellStyle name="Normal 10" xfId="26"/>
    <cellStyle name="Normal 10 2 2 2" xfId="27"/>
    <cellStyle name="Normal 132" xfId="28"/>
    <cellStyle name="Normal 152" xfId="29"/>
    <cellStyle name="Normal 2" xfId="5"/>
    <cellStyle name="Normal 2 10" xfId="30"/>
    <cellStyle name="Normal 2 2" xfId="3"/>
    <cellStyle name="Normal 2 2 2" xfId="31"/>
    <cellStyle name="Normal 2 2 3" xfId="32"/>
    <cellStyle name="Normal 2 2 4" xfId="33"/>
    <cellStyle name="Normal 2 3" xfId="34"/>
    <cellStyle name="Normal 2 3 5" xfId="35"/>
    <cellStyle name="Normal 2 4" xfId="36"/>
    <cellStyle name="Normal 2 4 3 2" xfId="52"/>
    <cellStyle name="Normal 2 4 4" xfId="37"/>
    <cellStyle name="Normal 3" xfId="38"/>
    <cellStyle name="Normal 3 183" xfId="39"/>
    <cellStyle name="Normal 3 2" xfId="40"/>
    <cellStyle name="Normal 3 2 2 6" xfId="41"/>
    <cellStyle name="Normal 3 8 2" xfId="42"/>
    <cellStyle name="Normal 4" xfId="43"/>
    <cellStyle name="Normal 4 4 2" xfId="44"/>
    <cellStyle name="Normal 5" xfId="45"/>
    <cellStyle name="Normal 6" xfId="46"/>
    <cellStyle name="Normal 7" xfId="47"/>
    <cellStyle name="Normal 8" xfId="48"/>
    <cellStyle name="Percent" xfId="53" builtinId="5"/>
    <cellStyle name="Percent 13" xfId="49"/>
    <cellStyle name="Percent 2" xfId="50"/>
    <cellStyle name="Percent 4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819187</xdr:colOff>
      <xdr:row>62</xdr:row>
      <xdr:rowOff>19110</xdr:rowOff>
    </xdr:from>
    <xdr:to>
      <xdr:col>21</xdr:col>
      <xdr:colOff>892342</xdr:colOff>
      <xdr:row>73</xdr:row>
      <xdr:rowOff>145464</xdr:rowOff>
    </xdr:to>
    <xdr:grpSp>
      <xdr:nvGrpSpPr>
        <xdr:cNvPr id="2" name="Group 1"/>
        <xdr:cNvGrpSpPr/>
      </xdr:nvGrpSpPr>
      <xdr:grpSpPr>
        <a:xfrm>
          <a:off x="12048661" y="33366636"/>
          <a:ext cx="3482102" cy="2221854"/>
          <a:chOff x="12048661" y="33366636"/>
          <a:chExt cx="3482102" cy="2221854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6646" y="34257541"/>
            <a:ext cx="2374117" cy="635415"/>
          </a:xfrm>
          <a:prstGeom prst="rect">
            <a:avLst/>
          </a:prstGeom>
        </xdr:spPr>
      </xdr:pic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901208">
            <a:off x="12048661" y="33366636"/>
            <a:ext cx="1610521" cy="222185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73"/>
  <sheetViews>
    <sheetView tabSelected="1" zoomScale="95" zoomScaleNormal="95" zoomScaleSheetLayoutView="80" workbookViewId="0">
      <pane ySplit="14" topLeftCell="A61" activePane="bottomLeft" state="frozen"/>
      <selection pane="bottomLeft" activeCell="T71" sqref="T71:V71"/>
    </sheetView>
  </sheetViews>
  <sheetFormatPr defaultRowHeight="15"/>
  <cols>
    <col min="1" max="1" width="4.28515625" customWidth="1"/>
    <col min="2" max="2" width="12.42578125" customWidth="1"/>
    <col min="3" max="3" width="24.7109375" customWidth="1"/>
    <col min="4" max="4" width="26" customWidth="1"/>
    <col min="5" max="5" width="8.7109375" hidden="1" customWidth="1"/>
    <col min="6" max="6" width="17.5703125" hidden="1" customWidth="1"/>
    <col min="7" max="8" width="8.7109375" hidden="1" customWidth="1"/>
    <col min="9" max="9" width="5.85546875" customWidth="1"/>
    <col min="10" max="10" width="21.140625" bestFit="1" customWidth="1"/>
    <col min="11" max="11" width="6.7109375" customWidth="1"/>
    <col min="12" max="12" width="13.85546875" bestFit="1" customWidth="1"/>
    <col min="13" max="13" width="6.7109375" customWidth="1"/>
    <col min="14" max="14" width="19.85546875" customWidth="1"/>
    <col min="15" max="15" width="6.7109375" customWidth="1"/>
    <col min="16" max="16" width="14.42578125" customWidth="1"/>
    <col min="17" max="17" width="5.42578125" customWidth="1"/>
    <col min="18" max="18" width="14.85546875" customWidth="1"/>
    <col min="19" max="19" width="6.5703125" customWidth="1"/>
    <col min="20" max="20" width="22" customWidth="1"/>
    <col min="21" max="21" width="7.7109375" customWidth="1"/>
    <col min="22" max="22" width="15" customWidth="1"/>
    <col min="23" max="23" width="1.7109375" hidden="1" customWidth="1"/>
    <col min="24" max="24" width="15.85546875" hidden="1" customWidth="1"/>
    <col min="25" max="25" width="17.140625" hidden="1" customWidth="1"/>
    <col min="26" max="26" width="7.42578125" hidden="1" customWidth="1"/>
    <col min="27" max="27" width="17.42578125" customWidth="1"/>
    <col min="29" max="29" width="15.28515625" bestFit="1" customWidth="1"/>
    <col min="30" max="30" width="13.85546875" hidden="1" customWidth="1"/>
  </cols>
  <sheetData>
    <row r="1" spans="1:32" ht="23.25">
      <c r="A1" s="122" t="s">
        <v>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</row>
    <row r="2" spans="1:32" ht="23.25">
      <c r="A2" s="122" t="s">
        <v>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32" ht="23.25">
      <c r="A3" s="122" t="s">
        <v>331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1:32">
      <c r="A4" s="124" t="s">
        <v>325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</row>
    <row r="6" spans="1:32">
      <c r="A6" t="s">
        <v>51</v>
      </c>
    </row>
    <row r="7" spans="1:32">
      <c r="A7" t="s">
        <v>326</v>
      </c>
    </row>
    <row r="8" spans="1:32">
      <c r="W8" s="123" t="s">
        <v>48</v>
      </c>
      <c r="X8" s="123"/>
      <c r="Y8" s="123"/>
    </row>
    <row r="9" spans="1:32" ht="24" customHeight="1">
      <c r="A9" s="115" t="s">
        <v>29</v>
      </c>
      <c r="B9" s="115" t="s">
        <v>30</v>
      </c>
      <c r="C9" s="115" t="s">
        <v>54</v>
      </c>
      <c r="D9" s="115" t="s">
        <v>55</v>
      </c>
      <c r="E9" s="118" t="s">
        <v>230</v>
      </c>
      <c r="F9" s="119"/>
      <c r="G9" s="118" t="s">
        <v>56</v>
      </c>
      <c r="H9" s="119"/>
      <c r="I9" s="118" t="s">
        <v>57</v>
      </c>
      <c r="J9" s="119"/>
      <c r="K9" s="118" t="s">
        <v>31</v>
      </c>
      <c r="L9" s="131"/>
      <c r="M9" s="131"/>
      <c r="N9" s="131"/>
      <c r="O9" s="131"/>
      <c r="P9" s="131"/>
      <c r="Q9" s="131"/>
      <c r="R9" s="119"/>
      <c r="S9" s="118" t="s">
        <v>49</v>
      </c>
      <c r="T9" s="119"/>
      <c r="U9" s="118" t="s">
        <v>58</v>
      </c>
      <c r="V9" s="119"/>
      <c r="W9" s="120" t="s">
        <v>233</v>
      </c>
      <c r="X9" s="121"/>
      <c r="Y9" s="120" t="s">
        <v>234</v>
      </c>
      <c r="Z9" s="119"/>
      <c r="AA9" s="115" t="s">
        <v>50</v>
      </c>
    </row>
    <row r="10" spans="1:32" ht="33" customHeight="1">
      <c r="A10" s="116"/>
      <c r="B10" s="116"/>
      <c r="C10" s="116"/>
      <c r="D10" s="116"/>
      <c r="E10" s="120"/>
      <c r="F10" s="121"/>
      <c r="G10" s="120"/>
      <c r="H10" s="121"/>
      <c r="I10" s="120"/>
      <c r="J10" s="121"/>
      <c r="K10" s="127"/>
      <c r="L10" s="132"/>
      <c r="M10" s="132"/>
      <c r="N10" s="132"/>
      <c r="O10" s="132"/>
      <c r="P10" s="132"/>
      <c r="Q10" s="132"/>
      <c r="R10" s="128"/>
      <c r="S10" s="120"/>
      <c r="T10" s="121"/>
      <c r="U10" s="120"/>
      <c r="V10" s="121"/>
      <c r="W10" s="120"/>
      <c r="X10" s="121"/>
      <c r="Y10" s="120"/>
      <c r="Z10" s="121"/>
      <c r="AA10" s="116"/>
    </row>
    <row r="11" spans="1:32">
      <c r="A11" s="117"/>
      <c r="B11" s="117"/>
      <c r="C11" s="117"/>
      <c r="D11" s="117"/>
      <c r="E11" s="127" t="s">
        <v>231</v>
      </c>
      <c r="F11" s="128"/>
      <c r="G11" s="127" t="s">
        <v>59</v>
      </c>
      <c r="H11" s="128"/>
      <c r="I11" s="127" t="s">
        <v>232</v>
      </c>
      <c r="J11" s="128"/>
      <c r="K11" s="129" t="s">
        <v>32</v>
      </c>
      <c r="L11" s="130"/>
      <c r="M11" s="129" t="s">
        <v>33</v>
      </c>
      <c r="N11" s="130"/>
      <c r="O11" s="129" t="s">
        <v>34</v>
      </c>
      <c r="P11" s="130"/>
      <c r="Q11" s="129" t="s">
        <v>35</v>
      </c>
      <c r="R11" s="130"/>
      <c r="S11" s="127"/>
      <c r="T11" s="128"/>
      <c r="U11" s="127"/>
      <c r="V11" s="128"/>
      <c r="W11" s="127"/>
      <c r="X11" s="128"/>
      <c r="Y11" s="127"/>
      <c r="Z11" s="128"/>
      <c r="AA11" s="117"/>
      <c r="AC11" s="104"/>
    </row>
    <row r="12" spans="1:32">
      <c r="A12" s="133">
        <v>1</v>
      </c>
      <c r="B12" s="133">
        <v>2</v>
      </c>
      <c r="C12" s="133">
        <v>3</v>
      </c>
      <c r="D12" s="133">
        <v>4</v>
      </c>
      <c r="E12" s="125">
        <v>5</v>
      </c>
      <c r="F12" s="126"/>
      <c r="G12" s="125">
        <v>6</v>
      </c>
      <c r="H12" s="126"/>
      <c r="I12" s="125">
        <v>7</v>
      </c>
      <c r="J12" s="126"/>
      <c r="K12" s="125">
        <v>8</v>
      </c>
      <c r="L12" s="126"/>
      <c r="M12" s="125">
        <v>9</v>
      </c>
      <c r="N12" s="126"/>
      <c r="O12" s="125">
        <v>10</v>
      </c>
      <c r="P12" s="126"/>
      <c r="Q12" s="125">
        <v>11</v>
      </c>
      <c r="R12" s="126"/>
      <c r="S12" s="125" t="s">
        <v>36</v>
      </c>
      <c r="T12" s="126"/>
      <c r="U12" s="125" t="s">
        <v>60</v>
      </c>
      <c r="V12" s="126"/>
      <c r="W12" s="125" t="s">
        <v>61</v>
      </c>
      <c r="X12" s="126"/>
      <c r="Y12" s="125" t="s">
        <v>62</v>
      </c>
      <c r="Z12" s="126"/>
      <c r="AA12" s="133">
        <v>16</v>
      </c>
    </row>
    <row r="13" spans="1:32">
      <c r="A13" s="134"/>
      <c r="B13" s="134"/>
      <c r="C13" s="134"/>
      <c r="D13" s="134"/>
      <c r="E13" s="15" t="s">
        <v>40</v>
      </c>
      <c r="F13" s="15" t="s">
        <v>41</v>
      </c>
      <c r="G13" s="15" t="s">
        <v>40</v>
      </c>
      <c r="H13" s="15" t="s">
        <v>41</v>
      </c>
      <c r="I13" s="15" t="s">
        <v>40</v>
      </c>
      <c r="J13" s="15" t="s">
        <v>41</v>
      </c>
      <c r="K13" s="15" t="s">
        <v>40</v>
      </c>
      <c r="L13" s="15" t="s">
        <v>41</v>
      </c>
      <c r="M13" s="15" t="s">
        <v>40</v>
      </c>
      <c r="N13" s="15" t="s">
        <v>41</v>
      </c>
      <c r="O13" s="15" t="s">
        <v>40</v>
      </c>
      <c r="P13" s="15" t="s">
        <v>41</v>
      </c>
      <c r="Q13" s="15" t="s">
        <v>40</v>
      </c>
      <c r="R13" s="15" t="s">
        <v>41</v>
      </c>
      <c r="S13" s="15" t="s">
        <v>40</v>
      </c>
      <c r="T13" s="15" t="s">
        <v>41</v>
      </c>
      <c r="U13" s="15" t="s">
        <v>40</v>
      </c>
      <c r="V13" s="15" t="s">
        <v>41</v>
      </c>
      <c r="W13" s="15" t="s">
        <v>40</v>
      </c>
      <c r="X13" s="15" t="s">
        <v>41</v>
      </c>
      <c r="Y13" s="15" t="s">
        <v>40</v>
      </c>
      <c r="Z13" s="15" t="s">
        <v>41</v>
      </c>
      <c r="AA13" s="134"/>
    </row>
    <row r="14" spans="1:32" s="22" customFormat="1" ht="12.75">
      <c r="A14" s="16"/>
      <c r="B14" s="17"/>
      <c r="C14" s="18"/>
      <c r="D14" s="18"/>
      <c r="E14" s="19"/>
      <c r="F14" s="20"/>
      <c r="G14" s="21"/>
      <c r="H14" s="21"/>
      <c r="I14" s="16"/>
      <c r="J14" s="21"/>
      <c r="K14" s="21"/>
      <c r="L14" s="21"/>
      <c r="M14" s="21"/>
      <c r="N14" s="21"/>
      <c r="O14" s="21"/>
      <c r="P14" s="21"/>
      <c r="Q14" s="21"/>
      <c r="R14" s="21"/>
      <c r="S14" s="24"/>
      <c r="T14" s="28"/>
      <c r="U14" s="82"/>
      <c r="V14" s="31"/>
      <c r="W14" s="24">
        <f t="shared" ref="W14:X28" si="0">G14+S14</f>
        <v>0</v>
      </c>
      <c r="X14" s="28">
        <f t="shared" si="0"/>
        <v>0</v>
      </c>
      <c r="Y14" s="24" t="e">
        <f t="shared" ref="Y14:Z28" si="1">W14/E14*100</f>
        <v>#DIV/0!</v>
      </c>
      <c r="Z14" s="28" t="e">
        <f t="shared" si="1"/>
        <v>#DIV/0!</v>
      </c>
      <c r="AA14" s="16"/>
    </row>
    <row r="15" spans="1:32" s="30" customFormat="1" ht="57.75" customHeight="1">
      <c r="A15" s="23"/>
      <c r="B15" s="48"/>
      <c r="C15" s="49" t="s">
        <v>235</v>
      </c>
      <c r="D15" s="50"/>
      <c r="E15" s="24"/>
      <c r="F15" s="25"/>
      <c r="G15" s="26"/>
      <c r="H15" s="26"/>
      <c r="I15" s="84"/>
      <c r="J15" s="74">
        <f>J16+J39+J45+J49+J52+J55</f>
        <v>17818230283</v>
      </c>
      <c r="K15" s="24"/>
      <c r="L15" s="27"/>
      <c r="M15" s="24"/>
      <c r="N15" s="27"/>
      <c r="O15" s="21"/>
      <c r="P15" s="21"/>
      <c r="Q15" s="21"/>
      <c r="R15" s="21"/>
      <c r="S15" s="24"/>
      <c r="T15" s="74">
        <f>T16+T39+T45+T49+T52+T55</f>
        <v>17250958152</v>
      </c>
      <c r="U15" s="82"/>
      <c r="V15" s="31"/>
      <c r="W15" s="24">
        <f t="shared" si="0"/>
        <v>0</v>
      </c>
      <c r="X15" s="28">
        <f t="shared" si="0"/>
        <v>17250958152</v>
      </c>
      <c r="Y15" s="24" t="e">
        <f t="shared" si="1"/>
        <v>#DIV/0!</v>
      </c>
      <c r="Z15" s="28" t="e">
        <f t="shared" si="1"/>
        <v>#DIV/0!</v>
      </c>
      <c r="AA15" s="81" t="s">
        <v>325</v>
      </c>
      <c r="AC15" s="109"/>
      <c r="AD15" s="75"/>
      <c r="AE15" s="75"/>
      <c r="AF15" s="75"/>
    </row>
    <row r="16" spans="1:32" s="30" customFormat="1" ht="87.75" customHeight="1">
      <c r="A16" s="98" t="s">
        <v>313</v>
      </c>
      <c r="B16" s="51" t="s">
        <v>326</v>
      </c>
      <c r="C16" s="52" t="s">
        <v>236</v>
      </c>
      <c r="D16" s="53" t="s">
        <v>237</v>
      </c>
      <c r="E16" s="77"/>
      <c r="F16" s="78"/>
      <c r="G16" s="26"/>
      <c r="H16" s="26"/>
      <c r="I16" s="86">
        <v>100</v>
      </c>
      <c r="J16" s="79">
        <f>J17+J19+J26+J29+J33</f>
        <v>13585065470</v>
      </c>
      <c r="K16" s="87">
        <f>L16/J16</f>
        <v>0.17012133015506181</v>
      </c>
      <c r="L16" s="79">
        <f>L17+L19+L26+L29+L33</f>
        <v>2311109408</v>
      </c>
      <c r="M16" s="87">
        <f t="shared" ref="M16:M57" si="2">N16/J16</f>
        <v>0.25576597291142833</v>
      </c>
      <c r="N16" s="79">
        <f>N17+N19+N26+N29+N33</f>
        <v>3474597487</v>
      </c>
      <c r="O16" s="97">
        <f>P16/J16</f>
        <v>0.2559191297000058</v>
      </c>
      <c r="P16" s="79">
        <f>P17+P19+P26+P29+P33</f>
        <v>3476678132</v>
      </c>
      <c r="Q16" s="97">
        <f>R16/J16</f>
        <v>0.2828427978124422</v>
      </c>
      <c r="R16" s="79">
        <f>R17+R19+R26+R29+R33</f>
        <v>3842437926</v>
      </c>
      <c r="S16" s="71">
        <f t="shared" ref="S16:T28" si="3">Q16+O16+M16+K16</f>
        <v>0.96464923057893814</v>
      </c>
      <c r="T16" s="96">
        <f>R16+P16+N16+L16</f>
        <v>13104822953</v>
      </c>
      <c r="U16" s="97">
        <f t="shared" ref="U16:V28" si="4">S16/I16*100</f>
        <v>0.96464923057893814</v>
      </c>
      <c r="V16" s="111">
        <f t="shared" si="4"/>
        <v>96.464923057893813</v>
      </c>
      <c r="W16" s="77">
        <f t="shared" si="0"/>
        <v>0.96464923057893814</v>
      </c>
      <c r="X16" s="80">
        <f t="shared" si="0"/>
        <v>13104822953</v>
      </c>
      <c r="Y16" s="77" t="e">
        <f t="shared" si="1"/>
        <v>#DIV/0!</v>
      </c>
      <c r="Z16" s="80" t="e">
        <f t="shared" si="1"/>
        <v>#DIV/0!</v>
      </c>
      <c r="AA16" s="76"/>
      <c r="AD16" s="75"/>
      <c r="AE16" s="75"/>
      <c r="AF16" s="75"/>
    </row>
    <row r="17" spans="1:32" s="30" customFormat="1" ht="25.5">
      <c r="A17" s="23"/>
      <c r="B17" s="54"/>
      <c r="C17" s="55" t="s">
        <v>238</v>
      </c>
      <c r="D17" s="55" t="s">
        <v>239</v>
      </c>
      <c r="E17" s="24"/>
      <c r="F17" s="25"/>
      <c r="G17" s="26"/>
      <c r="H17" s="26"/>
      <c r="I17" s="84">
        <v>100</v>
      </c>
      <c r="J17" s="73">
        <f>J18</f>
        <v>7650616500</v>
      </c>
      <c r="K17" s="88">
        <f>L17/J17</f>
        <v>0.17033031494912862</v>
      </c>
      <c r="L17" s="73">
        <f>L18</f>
        <v>1303131918</v>
      </c>
      <c r="M17" s="91">
        <f>N17/J17</f>
        <v>0.26447251812974809</v>
      </c>
      <c r="N17" s="73">
        <f>N18</f>
        <v>2023377811</v>
      </c>
      <c r="O17" s="106">
        <f t="shared" ref="O17:O30" si="5">P17/J17</f>
        <v>0.26623996719741472</v>
      </c>
      <c r="P17" s="105">
        <f>P18</f>
        <v>2036899886</v>
      </c>
      <c r="Q17" s="107">
        <f>Q18</f>
        <v>0.26322015029769169</v>
      </c>
      <c r="R17" s="105">
        <f>R18</f>
        <v>2013796425</v>
      </c>
      <c r="S17" s="88">
        <f t="shared" si="3"/>
        <v>0.96426295057398304</v>
      </c>
      <c r="T17" s="93">
        <f>R17+P17+N17+L17</f>
        <v>7377206040</v>
      </c>
      <c r="U17" s="91">
        <f t="shared" si="4"/>
        <v>0.96426295057398304</v>
      </c>
      <c r="V17" s="112">
        <f t="shared" si="4"/>
        <v>96.42629505739832</v>
      </c>
      <c r="W17" s="24">
        <f t="shared" si="0"/>
        <v>0.96426295057398304</v>
      </c>
      <c r="X17" s="28">
        <f t="shared" si="0"/>
        <v>7377206040</v>
      </c>
      <c r="Y17" s="24" t="e">
        <f t="shared" si="1"/>
        <v>#DIV/0!</v>
      </c>
      <c r="Z17" s="28" t="e">
        <f t="shared" si="1"/>
        <v>#DIV/0!</v>
      </c>
      <c r="AA17" s="29"/>
      <c r="AC17" s="101"/>
      <c r="AD17" s="75"/>
      <c r="AE17" s="75"/>
      <c r="AF17" s="75"/>
    </row>
    <row r="18" spans="1:32" s="30" customFormat="1" ht="25.5">
      <c r="A18" s="23"/>
      <c r="B18" s="56"/>
      <c r="C18" s="57" t="s">
        <v>240</v>
      </c>
      <c r="D18" s="58" t="s">
        <v>241</v>
      </c>
      <c r="E18" s="24"/>
      <c r="F18" s="25"/>
      <c r="G18" s="26"/>
      <c r="H18" s="26"/>
      <c r="I18" s="85">
        <v>100</v>
      </c>
      <c r="J18" s="27">
        <v>7650616500</v>
      </c>
      <c r="K18" s="89">
        <f>L18/J18</f>
        <v>0.17033031494912862</v>
      </c>
      <c r="L18" s="27">
        <v>1303131918</v>
      </c>
      <c r="M18" s="82">
        <f>N18/J18</f>
        <v>0.26447251812974809</v>
      </c>
      <c r="N18" s="27">
        <v>2023377811</v>
      </c>
      <c r="O18" s="82">
        <f>P18/J18</f>
        <v>0.26623996719741472</v>
      </c>
      <c r="P18" s="103">
        <v>2036899886</v>
      </c>
      <c r="Q18" s="19">
        <f>R18/J18</f>
        <v>0.26322015029769169</v>
      </c>
      <c r="R18" s="103">
        <v>2013796425</v>
      </c>
      <c r="S18" s="82">
        <f>T18/J18</f>
        <v>0.96426295057398315</v>
      </c>
      <c r="T18" s="90">
        <f t="shared" si="3"/>
        <v>7377206040</v>
      </c>
      <c r="U18" s="82">
        <f>S18/I18*100</f>
        <v>0.96426295057398315</v>
      </c>
      <c r="V18" s="110">
        <f>T18/J18*100</f>
        <v>96.42629505739832</v>
      </c>
      <c r="W18" s="24">
        <f t="shared" si="0"/>
        <v>0.96426295057398315</v>
      </c>
      <c r="X18" s="28">
        <f t="shared" si="0"/>
        <v>7377206040</v>
      </c>
      <c r="Y18" s="24" t="e">
        <f t="shared" si="1"/>
        <v>#DIV/0!</v>
      </c>
      <c r="Z18" s="28" t="e">
        <f t="shared" si="1"/>
        <v>#DIV/0!</v>
      </c>
      <c r="AA18" s="29"/>
      <c r="AC18" s="102"/>
      <c r="AD18" s="83">
        <f>3326509729-L18</f>
        <v>2023377811</v>
      </c>
      <c r="AE18" s="75"/>
      <c r="AF18" s="75"/>
    </row>
    <row r="19" spans="1:32" s="30" customFormat="1" ht="25.5">
      <c r="A19" s="23"/>
      <c r="B19" s="54"/>
      <c r="C19" s="59" t="s">
        <v>242</v>
      </c>
      <c r="D19" s="60" t="s">
        <v>243</v>
      </c>
      <c r="E19" s="24"/>
      <c r="F19" s="25"/>
      <c r="G19" s="26"/>
      <c r="H19" s="26"/>
      <c r="I19" s="84">
        <v>100</v>
      </c>
      <c r="J19" s="73">
        <f>SUM(J20:J25)</f>
        <v>550439424</v>
      </c>
      <c r="K19" s="91">
        <f>L19/J19</f>
        <v>0.23613134222013865</v>
      </c>
      <c r="L19" s="73">
        <f>SUM(L20:L25)</f>
        <v>129976000</v>
      </c>
      <c r="M19" s="91">
        <f>N19/J19</f>
        <v>0.21860852394177346</v>
      </c>
      <c r="N19" s="73">
        <f>SUM(N20:N25)</f>
        <v>120330750</v>
      </c>
      <c r="O19" s="106">
        <f t="shared" si="5"/>
        <v>0.21950444450723064</v>
      </c>
      <c r="P19" s="73">
        <f>SUM(P20:P25)</f>
        <v>120823900</v>
      </c>
      <c r="Q19" s="107">
        <f>R19/J19</f>
        <v>0.27295664781452861</v>
      </c>
      <c r="R19" s="73">
        <f>SUM(R20:R25)</f>
        <v>150246100</v>
      </c>
      <c r="S19" s="88">
        <f t="shared" si="3"/>
        <v>0.94720095848367136</v>
      </c>
      <c r="T19" s="93">
        <f>R19+P19+N19+L19</f>
        <v>521376750</v>
      </c>
      <c r="U19" s="91" t="s">
        <v>334</v>
      </c>
      <c r="V19" s="112">
        <f t="shared" si="4"/>
        <v>94.720095848367137</v>
      </c>
      <c r="W19" s="24">
        <f t="shared" si="0"/>
        <v>0.94720095848367136</v>
      </c>
      <c r="X19" s="28">
        <f t="shared" si="0"/>
        <v>521376750</v>
      </c>
      <c r="Y19" s="24" t="e">
        <f t="shared" si="1"/>
        <v>#DIV/0!</v>
      </c>
      <c r="Z19" s="28" t="e">
        <f t="shared" si="1"/>
        <v>#DIV/0!</v>
      </c>
      <c r="AA19" s="29"/>
      <c r="AC19" s="101"/>
      <c r="AD19" s="75"/>
      <c r="AE19" s="75"/>
      <c r="AF19" s="75"/>
    </row>
    <row r="20" spans="1:32" s="30" customFormat="1" ht="51">
      <c r="A20" s="23"/>
      <c r="B20" s="56"/>
      <c r="C20" s="57" t="s">
        <v>244</v>
      </c>
      <c r="D20" s="58" t="s">
        <v>245</v>
      </c>
      <c r="E20" s="24"/>
      <c r="F20" s="25"/>
      <c r="G20" s="26"/>
      <c r="H20" s="26"/>
      <c r="I20" s="85">
        <v>100</v>
      </c>
      <c r="J20" s="27">
        <v>10836682</v>
      </c>
      <c r="K20" s="82">
        <f>L20/J20</f>
        <v>0.54838741230941357</v>
      </c>
      <c r="L20" s="27">
        <v>5942700</v>
      </c>
      <c r="M20" s="82">
        <f t="shared" si="2"/>
        <v>0.13841875216048602</v>
      </c>
      <c r="N20" s="27">
        <v>1500000</v>
      </c>
      <c r="O20" s="82">
        <f t="shared" si="5"/>
        <v>0.1227312935822976</v>
      </c>
      <c r="P20" s="103">
        <v>1330000</v>
      </c>
      <c r="Q20" s="19">
        <f>R20/J20</f>
        <v>0.17625321108435221</v>
      </c>
      <c r="R20" s="108">
        <f>10682700-P20-N20-L20</f>
        <v>1910000</v>
      </c>
      <c r="S20" s="82">
        <f t="shared" ref="S20:S25" si="6">T20/J20</f>
        <v>0.98579066913654934</v>
      </c>
      <c r="T20" s="90">
        <f t="shared" si="3"/>
        <v>10682700</v>
      </c>
      <c r="U20" s="82">
        <f t="shared" si="4"/>
        <v>0.98579066913654945</v>
      </c>
      <c r="V20" s="110">
        <f t="shared" si="4"/>
        <v>98.579066913654927</v>
      </c>
      <c r="W20" s="24">
        <f t="shared" si="0"/>
        <v>0.98579066913654934</v>
      </c>
      <c r="X20" s="28">
        <f t="shared" si="0"/>
        <v>10682700</v>
      </c>
      <c r="Y20" s="24" t="e">
        <f t="shared" si="1"/>
        <v>#DIV/0!</v>
      </c>
      <c r="Z20" s="28" t="e">
        <f t="shared" si="1"/>
        <v>#DIV/0!</v>
      </c>
      <c r="AA20" s="29"/>
      <c r="AC20" s="101"/>
      <c r="AD20" s="83">
        <f>7442700-L20</f>
        <v>1500000</v>
      </c>
      <c r="AE20" s="75"/>
      <c r="AF20" s="75"/>
    </row>
    <row r="21" spans="1:32" s="30" customFormat="1" ht="38.25">
      <c r="A21" s="23"/>
      <c r="B21" s="56"/>
      <c r="C21" s="57" t="s">
        <v>246</v>
      </c>
      <c r="D21" s="61" t="s">
        <v>247</v>
      </c>
      <c r="E21" s="24"/>
      <c r="F21" s="25"/>
      <c r="G21" s="26"/>
      <c r="H21" s="26"/>
      <c r="I21" s="85">
        <v>100</v>
      </c>
      <c r="J21" s="27">
        <v>352296400</v>
      </c>
      <c r="K21" s="82">
        <f t="shared" ref="K21:K38" si="7">L21/J21</f>
        <v>0.22538322844059719</v>
      </c>
      <c r="L21" s="27">
        <v>79401700</v>
      </c>
      <c r="M21" s="82">
        <f t="shared" si="2"/>
        <v>0.24669340929966926</v>
      </c>
      <c r="N21" s="27">
        <v>86909200</v>
      </c>
      <c r="O21" s="82">
        <f t="shared" si="5"/>
        <v>0.18055733751466094</v>
      </c>
      <c r="P21" s="103">
        <v>63609700</v>
      </c>
      <c r="Q21" s="19">
        <f>R21/J21</f>
        <v>0.29980039534891645</v>
      </c>
      <c r="R21" s="108">
        <f>335539200-P21-N21-L21</f>
        <v>105618600</v>
      </c>
      <c r="S21" s="82">
        <f t="shared" si="6"/>
        <v>0.95243437060384384</v>
      </c>
      <c r="T21" s="90">
        <f t="shared" si="3"/>
        <v>335539200</v>
      </c>
      <c r="U21" s="82">
        <f t="shared" si="4"/>
        <v>0.95243437060384384</v>
      </c>
      <c r="V21" s="110">
        <f t="shared" si="4"/>
        <v>95.24343706038438</v>
      </c>
      <c r="W21" s="24">
        <f t="shared" si="0"/>
        <v>0.95243437060384384</v>
      </c>
      <c r="X21" s="28">
        <f t="shared" si="0"/>
        <v>335539200</v>
      </c>
      <c r="Y21" s="24" t="e">
        <f t="shared" si="1"/>
        <v>#DIV/0!</v>
      </c>
      <c r="Z21" s="28" t="e">
        <f t="shared" si="1"/>
        <v>#DIV/0!</v>
      </c>
      <c r="AA21" s="29"/>
      <c r="AC21" s="101"/>
      <c r="AD21" s="83">
        <f>166310900-L21</f>
        <v>86909200</v>
      </c>
      <c r="AE21" s="75"/>
      <c r="AF21" s="75"/>
    </row>
    <row r="22" spans="1:32" s="30" customFormat="1" ht="25.5">
      <c r="A22" s="23"/>
      <c r="B22" s="56"/>
      <c r="C22" s="57" t="s">
        <v>248</v>
      </c>
      <c r="D22" s="58" t="s">
        <v>249</v>
      </c>
      <c r="E22" s="24"/>
      <c r="F22" s="25"/>
      <c r="G22" s="26"/>
      <c r="H22" s="26"/>
      <c r="I22" s="85">
        <v>100</v>
      </c>
      <c r="J22" s="27">
        <v>39551092</v>
      </c>
      <c r="K22" s="82">
        <f t="shared" si="7"/>
        <v>0.5259551367127866</v>
      </c>
      <c r="L22" s="27">
        <v>20802100</v>
      </c>
      <c r="M22" s="82">
        <f t="shared" si="2"/>
        <v>0.10777957786854532</v>
      </c>
      <c r="N22" s="27">
        <v>4262800</v>
      </c>
      <c r="O22" s="82">
        <f t="shared" si="5"/>
        <v>0.23413259992922572</v>
      </c>
      <c r="P22" s="103">
        <v>9260200</v>
      </c>
      <c r="Q22" s="19">
        <f>R22/J22</f>
        <v>7.9441548668239048E-2</v>
      </c>
      <c r="R22" s="108">
        <f>37467100-P22-N22-L22</f>
        <v>3142000</v>
      </c>
      <c r="S22" s="82">
        <f t="shared" si="6"/>
        <v>0.9473088631787967</v>
      </c>
      <c r="T22" s="90">
        <f t="shared" si="3"/>
        <v>37467100</v>
      </c>
      <c r="U22" s="82">
        <f t="shared" si="4"/>
        <v>0.9473088631787967</v>
      </c>
      <c r="V22" s="110">
        <f t="shared" si="4"/>
        <v>94.730886317879666</v>
      </c>
      <c r="W22" s="24">
        <f t="shared" si="0"/>
        <v>0.9473088631787967</v>
      </c>
      <c r="X22" s="28">
        <f t="shared" si="0"/>
        <v>37467100</v>
      </c>
      <c r="Y22" s="24" t="e">
        <f t="shared" si="1"/>
        <v>#DIV/0!</v>
      </c>
      <c r="Z22" s="28" t="e">
        <f t="shared" si="1"/>
        <v>#DIV/0!</v>
      </c>
      <c r="AA22" s="29"/>
      <c r="AD22" s="83">
        <f>25064900-L22</f>
        <v>4262800</v>
      </c>
      <c r="AE22" s="75"/>
      <c r="AF22" s="75"/>
    </row>
    <row r="23" spans="1:32" s="30" customFormat="1" ht="25.5">
      <c r="A23" s="23"/>
      <c r="B23" s="56"/>
      <c r="C23" s="57" t="s">
        <v>250</v>
      </c>
      <c r="D23" s="61" t="s">
        <v>251</v>
      </c>
      <c r="E23" s="24"/>
      <c r="F23" s="25"/>
      <c r="G23" s="26"/>
      <c r="H23" s="26"/>
      <c r="I23" s="85">
        <v>100</v>
      </c>
      <c r="J23" s="27">
        <v>78134000</v>
      </c>
      <c r="K23" s="82">
        <f t="shared" si="7"/>
        <v>5.420175595771367E-2</v>
      </c>
      <c r="L23" s="27">
        <v>4235000</v>
      </c>
      <c r="M23" s="82">
        <f t="shared" si="2"/>
        <v>0.19370568510507591</v>
      </c>
      <c r="N23" s="27">
        <v>15135000</v>
      </c>
      <c r="O23" s="82">
        <f t="shared" si="5"/>
        <v>0.35412240509893261</v>
      </c>
      <c r="P23" s="103">
        <v>27669000</v>
      </c>
      <c r="Q23" s="19">
        <f t="shared" ref="Q23:Q38" si="8">R23/J23</f>
        <v>0.3483118744720608</v>
      </c>
      <c r="R23" s="108">
        <f>74254000-P23-N23-L23</f>
        <v>27215000</v>
      </c>
      <c r="S23" s="82">
        <f t="shared" si="6"/>
        <v>0.95034172063378297</v>
      </c>
      <c r="T23" s="90">
        <f t="shared" si="3"/>
        <v>74254000</v>
      </c>
      <c r="U23" s="82">
        <f t="shared" si="4"/>
        <v>0.95034172063378286</v>
      </c>
      <c r="V23" s="110">
        <f t="shared" si="4"/>
        <v>95.034172063378293</v>
      </c>
      <c r="W23" s="24">
        <f t="shared" si="0"/>
        <v>0.95034172063378297</v>
      </c>
      <c r="X23" s="28">
        <f t="shared" si="0"/>
        <v>74254000</v>
      </c>
      <c r="Y23" s="24" t="e">
        <f t="shared" si="1"/>
        <v>#DIV/0!</v>
      </c>
      <c r="Z23" s="28" t="e">
        <f t="shared" si="1"/>
        <v>#DIV/0!</v>
      </c>
      <c r="AA23" s="29"/>
      <c r="AD23" s="83">
        <f>19370000-L23</f>
        <v>15135000</v>
      </c>
      <c r="AE23" s="75"/>
      <c r="AF23" s="75"/>
    </row>
    <row r="24" spans="1:32" s="30" customFormat="1" ht="38.25">
      <c r="A24" s="23"/>
      <c r="B24" s="56"/>
      <c r="C24" s="57" t="s">
        <v>252</v>
      </c>
      <c r="D24" s="61" t="s">
        <v>253</v>
      </c>
      <c r="E24" s="24"/>
      <c r="F24" s="25"/>
      <c r="G24" s="26"/>
      <c r="H24" s="26"/>
      <c r="I24" s="85">
        <v>100</v>
      </c>
      <c r="J24" s="27">
        <v>40221250</v>
      </c>
      <c r="K24" s="82">
        <f t="shared" si="7"/>
        <v>0.3658389532896168</v>
      </c>
      <c r="L24" s="27">
        <v>14714500</v>
      </c>
      <c r="M24" s="82">
        <f t="shared" si="2"/>
        <v>0.10513720980824813</v>
      </c>
      <c r="N24" s="27">
        <v>4228750</v>
      </c>
      <c r="O24" s="82">
        <f t="shared" si="5"/>
        <v>0.32768747863380676</v>
      </c>
      <c r="P24" s="103">
        <v>13180000</v>
      </c>
      <c r="Q24" s="19">
        <f t="shared" si="8"/>
        <v>7.8826490971812158E-2</v>
      </c>
      <c r="R24" s="108">
        <f>35293750-P24-N24-L24</f>
        <v>3170500</v>
      </c>
      <c r="S24" s="82">
        <f t="shared" si="6"/>
        <v>0.87749013270348386</v>
      </c>
      <c r="T24" s="90">
        <f t="shared" si="3"/>
        <v>35293750</v>
      </c>
      <c r="U24" s="82">
        <f t="shared" si="4"/>
        <v>0.87749013270348386</v>
      </c>
      <c r="V24" s="110">
        <f t="shared" si="4"/>
        <v>87.749013270348385</v>
      </c>
      <c r="W24" s="24">
        <f t="shared" si="0"/>
        <v>0.87749013270348386</v>
      </c>
      <c r="X24" s="28">
        <f t="shared" si="0"/>
        <v>35293750</v>
      </c>
      <c r="Y24" s="24" t="e">
        <f t="shared" si="1"/>
        <v>#DIV/0!</v>
      </c>
      <c r="Z24" s="28" t="e">
        <f t="shared" si="1"/>
        <v>#DIV/0!</v>
      </c>
      <c r="AA24" s="29"/>
      <c r="AD24" s="83">
        <f>18943250-L24</f>
        <v>4228750</v>
      </c>
      <c r="AE24" s="75"/>
      <c r="AF24" s="75"/>
    </row>
    <row r="25" spans="1:32" s="30" customFormat="1" ht="38.25">
      <c r="A25" s="23"/>
      <c r="B25" s="56"/>
      <c r="C25" s="57" t="s">
        <v>254</v>
      </c>
      <c r="D25" s="58" t="s">
        <v>255</v>
      </c>
      <c r="E25" s="24"/>
      <c r="F25" s="25"/>
      <c r="G25" s="26"/>
      <c r="H25" s="26"/>
      <c r="I25" s="85">
        <v>100</v>
      </c>
      <c r="J25" s="27">
        <v>29400000</v>
      </c>
      <c r="K25" s="82">
        <f t="shared" si="7"/>
        <v>0.16598639455782313</v>
      </c>
      <c r="L25" s="27">
        <v>4880000</v>
      </c>
      <c r="M25" s="82">
        <f t="shared" si="2"/>
        <v>0.28214285714285714</v>
      </c>
      <c r="N25" s="27">
        <v>8295000</v>
      </c>
      <c r="O25" s="82">
        <f t="shared" si="5"/>
        <v>0.19642857142857142</v>
      </c>
      <c r="P25" s="103">
        <v>5775000</v>
      </c>
      <c r="Q25" s="19">
        <f t="shared" si="8"/>
        <v>0.31258503401360543</v>
      </c>
      <c r="R25" s="108">
        <f>28140000-P25-N25-L25</f>
        <v>9190000</v>
      </c>
      <c r="S25" s="82">
        <f t="shared" si="6"/>
        <v>0.95714285714285718</v>
      </c>
      <c r="T25" s="90">
        <f t="shared" si="3"/>
        <v>28140000</v>
      </c>
      <c r="U25" s="82">
        <f t="shared" si="4"/>
        <v>0.95714285714285707</v>
      </c>
      <c r="V25" s="110">
        <f t="shared" si="4"/>
        <v>95.714285714285722</v>
      </c>
      <c r="W25" s="24">
        <f t="shared" si="0"/>
        <v>0.95714285714285718</v>
      </c>
      <c r="X25" s="28">
        <f t="shared" si="0"/>
        <v>28140000</v>
      </c>
      <c r="Y25" s="24" t="e">
        <f t="shared" si="1"/>
        <v>#DIV/0!</v>
      </c>
      <c r="Z25" s="28" t="e">
        <f t="shared" si="1"/>
        <v>#DIV/0!</v>
      </c>
      <c r="AA25" s="29"/>
      <c r="AD25" s="83">
        <f>13175000-L25</f>
        <v>8295000</v>
      </c>
      <c r="AE25" s="75"/>
      <c r="AF25" s="75"/>
    </row>
    <row r="26" spans="1:32" s="30" customFormat="1" ht="38.25">
      <c r="A26" s="23"/>
      <c r="B26" s="54"/>
      <c r="C26" s="59" t="s">
        <v>256</v>
      </c>
      <c r="D26" s="62" t="s">
        <v>257</v>
      </c>
      <c r="E26" s="24"/>
      <c r="F26" s="25"/>
      <c r="G26" s="26"/>
      <c r="H26" s="26"/>
      <c r="I26" s="84">
        <v>100</v>
      </c>
      <c r="J26" s="73">
        <f>J27+J28</f>
        <v>302614834</v>
      </c>
      <c r="K26" s="91">
        <f t="shared" si="7"/>
        <v>0</v>
      </c>
      <c r="L26" s="73">
        <f>L27+L28</f>
        <v>0</v>
      </c>
      <c r="M26" s="91">
        <f t="shared" si="2"/>
        <v>0.47236910732538645</v>
      </c>
      <c r="N26" s="73">
        <f>N27+N28</f>
        <v>142945899</v>
      </c>
      <c r="O26" s="107">
        <f t="shared" si="5"/>
        <v>0.22365063571206162</v>
      </c>
      <c r="P26" s="73">
        <f>P27+P28</f>
        <v>67680000</v>
      </c>
      <c r="Q26" s="107">
        <f>R26/J26</f>
        <v>0.27097151489936544</v>
      </c>
      <c r="R26" s="73">
        <f>R27+R28</f>
        <v>82000000</v>
      </c>
      <c r="S26" s="88">
        <f t="shared" si="3"/>
        <v>0.96699125793681351</v>
      </c>
      <c r="T26" s="93">
        <f t="shared" si="3"/>
        <v>292625899</v>
      </c>
      <c r="U26" s="91">
        <f t="shared" si="4"/>
        <v>0.9669912579368134</v>
      </c>
      <c r="V26" s="112">
        <f t="shared" si="4"/>
        <v>96.699125793681347</v>
      </c>
      <c r="W26" s="24">
        <f t="shared" si="0"/>
        <v>0.96699125793681351</v>
      </c>
      <c r="X26" s="28">
        <f t="shared" si="0"/>
        <v>292625899</v>
      </c>
      <c r="Y26" s="24" t="e">
        <f t="shared" si="1"/>
        <v>#DIV/0!</v>
      </c>
      <c r="Z26" s="28" t="e">
        <f t="shared" si="1"/>
        <v>#DIV/0!</v>
      </c>
      <c r="AA26" s="29"/>
      <c r="AD26" s="75"/>
      <c r="AE26" s="75"/>
      <c r="AF26" s="75"/>
    </row>
    <row r="27" spans="1:32" s="30" customFormat="1" ht="25.5">
      <c r="A27" s="23"/>
      <c r="B27" s="56"/>
      <c r="C27" s="57" t="s">
        <v>258</v>
      </c>
      <c r="D27" s="61" t="s">
        <v>259</v>
      </c>
      <c r="E27" s="24"/>
      <c r="F27" s="25"/>
      <c r="G27" s="26"/>
      <c r="H27" s="26"/>
      <c r="I27" s="85">
        <v>100</v>
      </c>
      <c r="J27" s="27">
        <v>135218200</v>
      </c>
      <c r="K27" s="82">
        <f t="shared" si="7"/>
        <v>0</v>
      </c>
      <c r="L27" s="27">
        <v>0</v>
      </c>
      <c r="M27" s="82">
        <f t="shared" si="2"/>
        <v>0.39414737808963585</v>
      </c>
      <c r="N27" s="27">
        <v>53295899</v>
      </c>
      <c r="O27" s="82">
        <f t="shared" si="5"/>
        <v>0.22644880644765275</v>
      </c>
      <c r="P27" s="103">
        <v>30620000</v>
      </c>
      <c r="Q27" s="19">
        <f t="shared" si="8"/>
        <v>0.33353498271682364</v>
      </c>
      <c r="R27" s="108">
        <f>129015899-P27-N27-L27</f>
        <v>45100000</v>
      </c>
      <c r="S27" s="89">
        <f t="shared" si="3"/>
        <v>0.95413116725411218</v>
      </c>
      <c r="T27" s="90">
        <f t="shared" si="3"/>
        <v>129015899</v>
      </c>
      <c r="U27" s="82">
        <f t="shared" si="4"/>
        <v>0.95413116725411218</v>
      </c>
      <c r="V27" s="110">
        <f t="shared" si="4"/>
        <v>95.413116725411228</v>
      </c>
      <c r="W27" s="24">
        <f t="shared" si="0"/>
        <v>0.95413116725411218</v>
      </c>
      <c r="X27" s="28">
        <f t="shared" si="0"/>
        <v>129015899</v>
      </c>
      <c r="Y27" s="24" t="e">
        <f t="shared" si="1"/>
        <v>#DIV/0!</v>
      </c>
      <c r="Z27" s="28" t="e">
        <f t="shared" si="1"/>
        <v>#DIV/0!</v>
      </c>
      <c r="AA27" s="29"/>
      <c r="AC27" s="101"/>
      <c r="AD27" s="75"/>
      <c r="AE27" s="75"/>
      <c r="AF27" s="75"/>
    </row>
    <row r="28" spans="1:32" s="30" customFormat="1" ht="38.25">
      <c r="A28" s="23"/>
      <c r="B28" s="56"/>
      <c r="C28" s="57" t="s">
        <v>260</v>
      </c>
      <c r="D28" s="61" t="s">
        <v>261</v>
      </c>
      <c r="E28" s="24"/>
      <c r="F28" s="25"/>
      <c r="G28" s="26"/>
      <c r="H28" s="26"/>
      <c r="I28" s="85">
        <v>100</v>
      </c>
      <c r="J28" s="27">
        <v>167396634</v>
      </c>
      <c r="K28" s="82">
        <f t="shared" si="7"/>
        <v>0</v>
      </c>
      <c r="L28" s="27">
        <v>0</v>
      </c>
      <c r="M28" s="82">
        <f t="shared" si="2"/>
        <v>0.53555437679828133</v>
      </c>
      <c r="N28" s="27">
        <v>89650000</v>
      </c>
      <c r="O28" s="82">
        <f t="shared" si="5"/>
        <v>0.22139035364355056</v>
      </c>
      <c r="P28" s="103">
        <v>37060000</v>
      </c>
      <c r="Q28" s="19">
        <f t="shared" si="8"/>
        <v>0.22043453992031883</v>
      </c>
      <c r="R28" s="108">
        <f>163610000-P28-N28-L28</f>
        <v>36900000</v>
      </c>
      <c r="S28" s="89">
        <f t="shared" si="3"/>
        <v>0.97737927036215067</v>
      </c>
      <c r="T28" s="90">
        <f t="shared" si="3"/>
        <v>163610000</v>
      </c>
      <c r="U28" s="82">
        <f t="shared" si="4"/>
        <v>0.97737927036215067</v>
      </c>
      <c r="V28" s="110">
        <f t="shared" si="4"/>
        <v>97.737927036215083</v>
      </c>
      <c r="W28" s="24">
        <f t="shared" si="0"/>
        <v>0.97737927036215067</v>
      </c>
      <c r="X28" s="28">
        <f t="shared" si="0"/>
        <v>163610000</v>
      </c>
      <c r="Y28" s="24" t="e">
        <f t="shared" si="1"/>
        <v>#DIV/0!</v>
      </c>
      <c r="Z28" s="28" t="e">
        <f t="shared" si="1"/>
        <v>#DIV/0!</v>
      </c>
      <c r="AA28" s="29"/>
      <c r="AD28" s="75"/>
      <c r="AE28" s="75"/>
      <c r="AF28" s="75"/>
    </row>
    <row r="29" spans="1:32" s="30" customFormat="1" ht="38.25">
      <c r="A29" s="23"/>
      <c r="B29" s="54"/>
      <c r="C29" s="59" t="s">
        <v>262</v>
      </c>
      <c r="D29" s="63" t="s">
        <v>263</v>
      </c>
      <c r="E29" s="24"/>
      <c r="F29" s="25"/>
      <c r="G29" s="26"/>
      <c r="H29" s="26"/>
      <c r="I29" s="84">
        <v>100</v>
      </c>
      <c r="J29" s="73">
        <f>J30+J31+J32</f>
        <v>4345881472</v>
      </c>
      <c r="K29" s="91">
        <f t="shared" si="7"/>
        <v>0.18675101822933471</v>
      </c>
      <c r="L29" s="73">
        <f>L30+L31+L32</f>
        <v>811597790</v>
      </c>
      <c r="M29" s="91">
        <f t="shared" si="2"/>
        <v>0.2323682165531458</v>
      </c>
      <c r="N29" s="73">
        <f>N30+N31+N32</f>
        <v>1009844727</v>
      </c>
      <c r="O29" s="106">
        <f t="shared" si="5"/>
        <v>0.23092837493751142</v>
      </c>
      <c r="P29" s="73">
        <f>P30+P31+P32</f>
        <v>1003587346</v>
      </c>
      <c r="Q29" s="107">
        <f t="shared" si="8"/>
        <v>0.32331936111303128</v>
      </c>
      <c r="R29" s="73">
        <f>R30+R31+R32</f>
        <v>1405107621</v>
      </c>
      <c r="S29" s="88">
        <f t="shared" ref="S29:T57" si="9">Q29+O29+M29+K29</f>
        <v>0.97336697083302315</v>
      </c>
      <c r="T29" s="93">
        <f t="shared" si="9"/>
        <v>4230137484</v>
      </c>
      <c r="U29" s="91">
        <f t="shared" ref="U29:V57" si="10">S29/I29*100</f>
        <v>0.97336697083302315</v>
      </c>
      <c r="V29" s="112">
        <f t="shared" si="10"/>
        <v>97.336697083302326</v>
      </c>
      <c r="W29" s="24">
        <f t="shared" ref="W29:X57" si="11">G29+S29</f>
        <v>0.97336697083302315</v>
      </c>
      <c r="X29" s="28">
        <f t="shared" si="11"/>
        <v>4230137484</v>
      </c>
      <c r="Y29" s="24" t="e">
        <f t="shared" ref="Y29:Z57" si="12">W29/E29*100</f>
        <v>#DIV/0!</v>
      </c>
      <c r="Z29" s="28" t="e">
        <f t="shared" si="12"/>
        <v>#DIV/0!</v>
      </c>
      <c r="AA29" s="29"/>
      <c r="AC29" s="101"/>
      <c r="AD29" s="75"/>
      <c r="AE29" s="75"/>
      <c r="AF29" s="75"/>
    </row>
    <row r="30" spans="1:32" s="30" customFormat="1" ht="38.25">
      <c r="A30" s="23"/>
      <c r="B30" s="56"/>
      <c r="C30" s="57" t="s">
        <v>264</v>
      </c>
      <c r="D30" s="61" t="s">
        <v>265</v>
      </c>
      <c r="E30" s="24"/>
      <c r="F30" s="25"/>
      <c r="G30" s="26"/>
      <c r="H30" s="26"/>
      <c r="I30" s="85">
        <v>100</v>
      </c>
      <c r="J30" s="27">
        <v>229530000</v>
      </c>
      <c r="K30" s="82">
        <f t="shared" si="7"/>
        <v>0.15138893390842156</v>
      </c>
      <c r="L30" s="27">
        <v>34748302</v>
      </c>
      <c r="M30" s="82">
        <f t="shared" si="2"/>
        <v>0.158972591818063</v>
      </c>
      <c r="N30" s="27">
        <v>36488979</v>
      </c>
      <c r="O30" s="82">
        <f t="shared" si="5"/>
        <v>0.18007562410142466</v>
      </c>
      <c r="P30" s="103">
        <v>41332758</v>
      </c>
      <c r="Q30" s="19">
        <f t="shared" si="8"/>
        <v>0.22451214656036247</v>
      </c>
      <c r="R30" s="108">
        <f>164102312-P30-N30-L30</f>
        <v>51532273</v>
      </c>
      <c r="S30" s="89">
        <f t="shared" si="9"/>
        <v>0.71494929638827176</v>
      </c>
      <c r="T30" s="90">
        <f t="shared" si="9"/>
        <v>164102312</v>
      </c>
      <c r="U30" s="82">
        <f t="shared" si="10"/>
        <v>0.71494929638827176</v>
      </c>
      <c r="V30" s="110">
        <f t="shared" si="10"/>
        <v>71.494929638827159</v>
      </c>
      <c r="W30" s="24">
        <f t="shared" si="11"/>
        <v>0.71494929638827176</v>
      </c>
      <c r="X30" s="28">
        <f t="shared" si="11"/>
        <v>164102312</v>
      </c>
      <c r="Y30" s="24" t="e">
        <f t="shared" si="12"/>
        <v>#DIV/0!</v>
      </c>
      <c r="Z30" s="28" t="e">
        <f t="shared" si="12"/>
        <v>#DIV/0!</v>
      </c>
      <c r="AA30" s="29"/>
      <c r="AD30" s="83">
        <f>71237281-L30</f>
        <v>36488979</v>
      </c>
      <c r="AE30" s="75"/>
      <c r="AF30" s="75"/>
    </row>
    <row r="31" spans="1:32" s="30" customFormat="1" ht="38.25">
      <c r="A31" s="23"/>
      <c r="B31" s="56"/>
      <c r="C31" s="57" t="s">
        <v>266</v>
      </c>
      <c r="D31" s="58" t="s">
        <v>267</v>
      </c>
      <c r="E31" s="24"/>
      <c r="F31" s="25"/>
      <c r="G31" s="26"/>
      <c r="H31" s="26"/>
      <c r="I31" s="85">
        <v>100</v>
      </c>
      <c r="J31" s="27">
        <v>2068633192</v>
      </c>
      <c r="K31" s="82">
        <f t="shared" si="7"/>
        <v>0.17026429304243706</v>
      </c>
      <c r="L31" s="27">
        <v>352214368</v>
      </c>
      <c r="M31" s="82">
        <f t="shared" si="2"/>
        <v>0.25317768757913267</v>
      </c>
      <c r="N31" s="27">
        <v>523731768</v>
      </c>
      <c r="O31" s="82">
        <f t="shared" ref="O31:O38" si="13">P31/J31</f>
        <v>0.25327788900720682</v>
      </c>
      <c r="P31" s="103">
        <v>523939048</v>
      </c>
      <c r="Q31" s="19">
        <f t="shared" si="8"/>
        <v>0.32199359972369623</v>
      </c>
      <c r="R31" s="108">
        <f>2065971832-P31-N31-L31</f>
        <v>666086648</v>
      </c>
      <c r="S31" s="89">
        <f t="shared" si="9"/>
        <v>0.99871346935247274</v>
      </c>
      <c r="T31" s="90">
        <f t="shared" si="9"/>
        <v>2065971832</v>
      </c>
      <c r="U31" s="82">
        <f t="shared" si="10"/>
        <v>0.99871346935247274</v>
      </c>
      <c r="V31" s="110">
        <f t="shared" si="10"/>
        <v>99.871346935247288</v>
      </c>
      <c r="W31" s="24">
        <f t="shared" si="11"/>
        <v>0.99871346935247274</v>
      </c>
      <c r="X31" s="28">
        <f t="shared" si="11"/>
        <v>2065971832</v>
      </c>
      <c r="Y31" s="24" t="e">
        <f t="shared" si="12"/>
        <v>#DIV/0!</v>
      </c>
      <c r="Z31" s="28" t="e">
        <f t="shared" si="12"/>
        <v>#DIV/0!</v>
      </c>
      <c r="AA31" s="29"/>
      <c r="AD31" s="83">
        <f>875946136-L31</f>
        <v>523731768</v>
      </c>
      <c r="AE31" s="75"/>
      <c r="AF31" s="75"/>
    </row>
    <row r="32" spans="1:32" s="30" customFormat="1" ht="25.5">
      <c r="A32" s="23"/>
      <c r="B32" s="56"/>
      <c r="C32" s="57" t="s">
        <v>268</v>
      </c>
      <c r="D32" s="61" t="s">
        <v>269</v>
      </c>
      <c r="E32" s="24"/>
      <c r="F32" s="25"/>
      <c r="G32" s="26"/>
      <c r="H32" s="26"/>
      <c r="I32" s="85">
        <v>100</v>
      </c>
      <c r="J32" s="27">
        <v>2047718280</v>
      </c>
      <c r="K32" s="82">
        <f t="shared" si="7"/>
        <v>0.20736989269832568</v>
      </c>
      <c r="L32" s="27">
        <v>424635120</v>
      </c>
      <c r="M32" s="82">
        <f t="shared" si="2"/>
        <v>0.21957316315992451</v>
      </c>
      <c r="N32" s="27">
        <v>449623980</v>
      </c>
      <c r="O32" s="82">
        <f t="shared" si="13"/>
        <v>0.21405070427949688</v>
      </c>
      <c r="P32" s="103">
        <v>438315540</v>
      </c>
      <c r="Q32" s="19">
        <f t="shared" si="8"/>
        <v>0.33573402489721388</v>
      </c>
      <c r="R32" s="108">
        <f>2000063340-P32-N32-L32</f>
        <v>687488700</v>
      </c>
      <c r="S32" s="89">
        <f t="shared" si="9"/>
        <v>0.97672778503496094</v>
      </c>
      <c r="T32" s="90">
        <f t="shared" si="9"/>
        <v>2000063340</v>
      </c>
      <c r="U32" s="82">
        <f t="shared" si="10"/>
        <v>0.97672778503496094</v>
      </c>
      <c r="V32" s="110">
        <f t="shared" si="10"/>
        <v>97.67277850349609</v>
      </c>
      <c r="W32" s="24">
        <f t="shared" si="11"/>
        <v>0.97672778503496094</v>
      </c>
      <c r="X32" s="28">
        <f t="shared" si="11"/>
        <v>2000063340</v>
      </c>
      <c r="Y32" s="24" t="e">
        <f t="shared" si="12"/>
        <v>#DIV/0!</v>
      </c>
      <c r="Z32" s="28" t="e">
        <f t="shared" si="12"/>
        <v>#DIV/0!</v>
      </c>
      <c r="AA32" s="29"/>
      <c r="AD32" s="83">
        <f>874259100-L32</f>
        <v>449623980</v>
      </c>
      <c r="AE32" s="75"/>
      <c r="AF32" s="75"/>
    </row>
    <row r="33" spans="1:32" s="30" customFormat="1" ht="51">
      <c r="A33" s="23"/>
      <c r="B33" s="54"/>
      <c r="C33" s="59" t="s">
        <v>270</v>
      </c>
      <c r="D33" s="64" t="s">
        <v>271</v>
      </c>
      <c r="E33" s="24"/>
      <c r="F33" s="25"/>
      <c r="G33" s="26"/>
      <c r="H33" s="26"/>
      <c r="I33" s="84">
        <v>100</v>
      </c>
      <c r="J33" s="73">
        <f>SUM(J34:J38)</f>
        <v>735513240</v>
      </c>
      <c r="K33" s="91">
        <f t="shared" si="7"/>
        <v>9.0282127348244604E-2</v>
      </c>
      <c r="L33" s="73">
        <f>SUM(L34:L38)</f>
        <v>66403700</v>
      </c>
      <c r="M33" s="91">
        <f t="shared" si="2"/>
        <v>0.24214152827486832</v>
      </c>
      <c r="N33" s="73">
        <f>SUM(N34:N38)</f>
        <v>178098300</v>
      </c>
      <c r="O33" s="100">
        <f>P33/J33</f>
        <v>0.33675396516315598</v>
      </c>
      <c r="P33" s="73">
        <f>SUM(P34:P38)</f>
        <v>247687000</v>
      </c>
      <c r="Q33" s="107">
        <f>R33/J33</f>
        <v>0.2600738771201454</v>
      </c>
      <c r="R33" s="73">
        <f>SUM(R34:R38)</f>
        <v>191287780</v>
      </c>
      <c r="S33" s="88">
        <f t="shared" si="9"/>
        <v>0.92925149790641426</v>
      </c>
      <c r="T33" s="93">
        <f t="shared" si="9"/>
        <v>683476780</v>
      </c>
      <c r="U33" s="91">
        <f t="shared" si="10"/>
        <v>0.92925149790641426</v>
      </c>
      <c r="V33" s="112">
        <f t="shared" si="10"/>
        <v>92.925149790641427</v>
      </c>
      <c r="W33" s="24">
        <f t="shared" si="11"/>
        <v>0.92925149790641426</v>
      </c>
      <c r="X33" s="28">
        <f t="shared" si="11"/>
        <v>683476780</v>
      </c>
      <c r="Y33" s="24" t="e">
        <f t="shared" si="12"/>
        <v>#DIV/0!</v>
      </c>
      <c r="Z33" s="28" t="e">
        <f t="shared" si="12"/>
        <v>#DIV/0!</v>
      </c>
      <c r="AA33" s="29"/>
      <c r="AD33" s="75"/>
      <c r="AE33" s="75"/>
      <c r="AF33" s="75"/>
    </row>
    <row r="34" spans="1:32" s="30" customFormat="1" ht="87" customHeight="1">
      <c r="A34" s="23"/>
      <c r="B34" s="56"/>
      <c r="C34" s="57" t="s">
        <v>272</v>
      </c>
      <c r="D34" s="61" t="s">
        <v>273</v>
      </c>
      <c r="E34" s="24"/>
      <c r="F34" s="25"/>
      <c r="G34" s="26"/>
      <c r="H34" s="26"/>
      <c r="I34" s="85">
        <v>100</v>
      </c>
      <c r="J34" s="27">
        <v>35342000</v>
      </c>
      <c r="K34" s="82">
        <f t="shared" si="7"/>
        <v>0.13355214758644107</v>
      </c>
      <c r="L34" s="27">
        <v>4720000</v>
      </c>
      <c r="M34" s="82">
        <f t="shared" si="2"/>
        <v>0.21702223982796673</v>
      </c>
      <c r="N34" s="27">
        <v>7670000</v>
      </c>
      <c r="O34" s="82">
        <f t="shared" si="13"/>
        <v>0.27078263822081378</v>
      </c>
      <c r="P34" s="103">
        <v>9570000</v>
      </c>
      <c r="Q34" s="19">
        <f t="shared" si="8"/>
        <v>0.28887159753268066</v>
      </c>
      <c r="R34" s="108">
        <f>32169300-P34-N34-L34</f>
        <v>10209300</v>
      </c>
      <c r="S34" s="89">
        <f t="shared" si="9"/>
        <v>0.91022862316790221</v>
      </c>
      <c r="T34" s="90">
        <f t="shared" si="9"/>
        <v>32169300</v>
      </c>
      <c r="U34" s="82">
        <f t="shared" si="10"/>
        <v>0.91022862316790221</v>
      </c>
      <c r="V34" s="110">
        <f t="shared" si="10"/>
        <v>91.022862316790224</v>
      </c>
      <c r="W34" s="24">
        <f t="shared" si="11"/>
        <v>0.91022862316790221</v>
      </c>
      <c r="X34" s="28">
        <f t="shared" si="11"/>
        <v>32169300</v>
      </c>
      <c r="Y34" s="24" t="e">
        <f t="shared" si="12"/>
        <v>#DIV/0!</v>
      </c>
      <c r="Z34" s="28" t="e">
        <f t="shared" si="12"/>
        <v>#DIV/0!</v>
      </c>
      <c r="AA34" s="29"/>
      <c r="AC34" s="101"/>
      <c r="AD34" s="83">
        <f>12390000-L34</f>
        <v>7670000</v>
      </c>
      <c r="AE34" s="75"/>
      <c r="AF34" s="75"/>
    </row>
    <row r="35" spans="1:32" s="30" customFormat="1" ht="77.25" customHeight="1">
      <c r="A35" s="23"/>
      <c r="B35" s="56"/>
      <c r="C35" s="57" t="s">
        <v>274</v>
      </c>
      <c r="D35" s="65" t="s">
        <v>275</v>
      </c>
      <c r="E35" s="24"/>
      <c r="F35" s="25"/>
      <c r="G35" s="26"/>
      <c r="H35" s="26"/>
      <c r="I35" s="85">
        <v>100</v>
      </c>
      <c r="J35" s="27">
        <v>365450000</v>
      </c>
      <c r="K35" s="82">
        <f t="shared" si="7"/>
        <v>0.12317334792721303</v>
      </c>
      <c r="L35" s="27">
        <v>45013700</v>
      </c>
      <c r="M35" s="82">
        <f t="shared" si="2"/>
        <v>0.3341450266794363</v>
      </c>
      <c r="N35" s="27">
        <v>122113300</v>
      </c>
      <c r="O35" s="82">
        <f t="shared" si="13"/>
        <v>0.23747708304829662</v>
      </c>
      <c r="P35" s="103">
        <v>86786000</v>
      </c>
      <c r="Q35" s="19">
        <f t="shared" si="8"/>
        <v>0.1974647147352579</v>
      </c>
      <c r="R35" s="108">
        <f>326076480-P35-N35-L35</f>
        <v>72163480</v>
      </c>
      <c r="S35" s="89">
        <f t="shared" si="9"/>
        <v>0.89226017239020383</v>
      </c>
      <c r="T35" s="90">
        <f t="shared" si="9"/>
        <v>326076480</v>
      </c>
      <c r="U35" s="82">
        <f t="shared" si="10"/>
        <v>0.89226017239020372</v>
      </c>
      <c r="V35" s="110">
        <f t="shared" si="10"/>
        <v>89.226017239020379</v>
      </c>
      <c r="W35" s="24">
        <f t="shared" si="11"/>
        <v>0.89226017239020383</v>
      </c>
      <c r="X35" s="28">
        <f t="shared" si="11"/>
        <v>326076480</v>
      </c>
      <c r="Y35" s="24" t="e">
        <f t="shared" si="12"/>
        <v>#DIV/0!</v>
      </c>
      <c r="Z35" s="28" t="e">
        <f t="shared" si="12"/>
        <v>#DIV/0!</v>
      </c>
      <c r="AA35" s="29"/>
      <c r="AD35" s="83">
        <f>167127000-L35</f>
        <v>122113300</v>
      </c>
      <c r="AE35" s="75"/>
      <c r="AF35" s="75"/>
    </row>
    <row r="36" spans="1:32" s="30" customFormat="1" ht="51">
      <c r="A36" s="23"/>
      <c r="B36" s="56"/>
      <c r="C36" s="57" t="s">
        <v>276</v>
      </c>
      <c r="D36" s="61" t="s">
        <v>277</v>
      </c>
      <c r="E36" s="24"/>
      <c r="F36" s="25"/>
      <c r="G36" s="26"/>
      <c r="H36" s="26"/>
      <c r="I36" s="85">
        <v>100</v>
      </c>
      <c r="J36" s="27">
        <v>25000000</v>
      </c>
      <c r="K36" s="82">
        <f t="shared" si="7"/>
        <v>0</v>
      </c>
      <c r="L36" s="27">
        <v>0</v>
      </c>
      <c r="M36" s="82">
        <f t="shared" si="2"/>
        <v>0</v>
      </c>
      <c r="N36" s="27">
        <v>0</v>
      </c>
      <c r="O36" s="82">
        <f t="shared" si="13"/>
        <v>0</v>
      </c>
      <c r="P36" s="27">
        <v>0</v>
      </c>
      <c r="Q36" s="19">
        <f t="shared" si="8"/>
        <v>1</v>
      </c>
      <c r="R36" s="103">
        <v>25000000</v>
      </c>
      <c r="S36" s="89">
        <f t="shared" si="9"/>
        <v>1</v>
      </c>
      <c r="T36" s="90">
        <f t="shared" si="9"/>
        <v>25000000</v>
      </c>
      <c r="U36" s="82">
        <f t="shared" si="10"/>
        <v>1</v>
      </c>
      <c r="V36" s="110">
        <f t="shared" si="10"/>
        <v>100</v>
      </c>
      <c r="W36" s="24">
        <f t="shared" si="11"/>
        <v>1</v>
      </c>
      <c r="X36" s="28">
        <f t="shared" si="11"/>
        <v>25000000</v>
      </c>
      <c r="Y36" s="24" t="e">
        <f t="shared" si="12"/>
        <v>#DIV/0!</v>
      </c>
      <c r="Z36" s="28" t="e">
        <f t="shared" si="12"/>
        <v>#DIV/0!</v>
      </c>
      <c r="AA36" s="29"/>
      <c r="AD36" s="75"/>
      <c r="AE36" s="75"/>
      <c r="AF36" s="75"/>
    </row>
    <row r="37" spans="1:32" s="30" customFormat="1" ht="51">
      <c r="A37" s="23"/>
      <c r="B37" s="56"/>
      <c r="C37" s="57" t="s">
        <v>278</v>
      </c>
      <c r="D37" s="61" t="s">
        <v>279</v>
      </c>
      <c r="E37" s="24"/>
      <c r="F37" s="25"/>
      <c r="G37" s="26"/>
      <c r="H37" s="26"/>
      <c r="I37" s="85">
        <v>100</v>
      </c>
      <c r="J37" s="27">
        <v>173146240</v>
      </c>
      <c r="K37" s="82">
        <f t="shared" si="7"/>
        <v>9.6276996832273115E-2</v>
      </c>
      <c r="L37" s="27">
        <v>16670000</v>
      </c>
      <c r="M37" s="82">
        <f t="shared" si="2"/>
        <v>0.18923310145227526</v>
      </c>
      <c r="N37" s="27">
        <v>32765000</v>
      </c>
      <c r="O37" s="82">
        <f t="shared" si="13"/>
        <v>0.23012339164858561</v>
      </c>
      <c r="P37" s="103">
        <v>39845000</v>
      </c>
      <c r="Q37" s="19">
        <f t="shared" si="8"/>
        <v>0.43304434448013424</v>
      </c>
      <c r="R37" s="108">
        <f>164260000-P37-N37-L37</f>
        <v>74980000</v>
      </c>
      <c r="S37" s="89">
        <f t="shared" si="9"/>
        <v>0.94867783441326814</v>
      </c>
      <c r="T37" s="90">
        <f t="shared" si="9"/>
        <v>164260000</v>
      </c>
      <c r="U37" s="82">
        <f t="shared" si="10"/>
        <v>0.94867783441326825</v>
      </c>
      <c r="V37" s="110">
        <f t="shared" si="10"/>
        <v>94.867783441326822</v>
      </c>
      <c r="W37" s="24">
        <f t="shared" si="11"/>
        <v>0.94867783441326814</v>
      </c>
      <c r="X37" s="28">
        <f t="shared" si="11"/>
        <v>164260000</v>
      </c>
      <c r="Y37" s="24" t="e">
        <f t="shared" si="12"/>
        <v>#DIV/0!</v>
      </c>
      <c r="Z37" s="28" t="e">
        <f t="shared" si="12"/>
        <v>#DIV/0!</v>
      </c>
      <c r="AA37" s="29"/>
      <c r="AC37" s="101"/>
      <c r="AD37" s="83">
        <f>49435000-L37</f>
        <v>32765000</v>
      </c>
      <c r="AE37" s="75"/>
      <c r="AF37" s="75"/>
    </row>
    <row r="38" spans="1:32" s="30" customFormat="1" ht="51">
      <c r="A38" s="23"/>
      <c r="B38" s="56"/>
      <c r="C38" s="57" t="s">
        <v>318</v>
      </c>
      <c r="D38" s="61" t="s">
        <v>279</v>
      </c>
      <c r="E38" s="24"/>
      <c r="F38" s="25"/>
      <c r="G38" s="26"/>
      <c r="H38" s="26"/>
      <c r="I38" s="85">
        <v>100</v>
      </c>
      <c r="J38" s="27">
        <v>136575000</v>
      </c>
      <c r="K38" s="82">
        <f t="shared" si="7"/>
        <v>0</v>
      </c>
      <c r="L38" s="27">
        <v>0</v>
      </c>
      <c r="M38" s="82">
        <f t="shared" si="2"/>
        <v>0.1138568552077613</v>
      </c>
      <c r="N38" s="27">
        <v>15550000</v>
      </c>
      <c r="O38" s="82">
        <f t="shared" si="13"/>
        <v>0.81629873695771549</v>
      </c>
      <c r="P38" s="103">
        <v>111486000</v>
      </c>
      <c r="Q38" s="19">
        <f t="shared" si="8"/>
        <v>6.5421929342851917E-2</v>
      </c>
      <c r="R38" s="108">
        <f>135971000-P38-N38-L38</f>
        <v>8935000</v>
      </c>
      <c r="S38" s="89">
        <f t="shared" si="9"/>
        <v>0.99557752150832879</v>
      </c>
      <c r="T38" s="90">
        <f t="shared" si="9"/>
        <v>135971000</v>
      </c>
      <c r="U38" s="82">
        <f t="shared" si="10"/>
        <v>0.99557752150832879</v>
      </c>
      <c r="V38" s="110">
        <f t="shared" si="10"/>
        <v>99.557752150832883</v>
      </c>
      <c r="W38" s="24">
        <f t="shared" si="11"/>
        <v>0.99557752150832879</v>
      </c>
      <c r="X38" s="28">
        <f t="shared" si="11"/>
        <v>135971000</v>
      </c>
      <c r="Y38" s="24" t="e">
        <f t="shared" si="12"/>
        <v>#DIV/0!</v>
      </c>
      <c r="Z38" s="28" t="e">
        <f t="shared" si="12"/>
        <v>#DIV/0!</v>
      </c>
      <c r="AA38" s="29"/>
      <c r="AD38" s="75"/>
      <c r="AE38" s="75"/>
      <c r="AF38" s="75"/>
    </row>
    <row r="39" spans="1:32" s="30" customFormat="1" ht="88.5" customHeight="1">
      <c r="A39" s="98" t="s">
        <v>314</v>
      </c>
      <c r="B39" s="51" t="s">
        <v>326</v>
      </c>
      <c r="C39" s="52" t="s">
        <v>280</v>
      </c>
      <c r="D39" s="53" t="s">
        <v>281</v>
      </c>
      <c r="E39" s="77"/>
      <c r="F39" s="78"/>
      <c r="G39" s="26"/>
      <c r="H39" s="26"/>
      <c r="I39" s="86">
        <f>I40</f>
        <v>100</v>
      </c>
      <c r="J39" s="79">
        <f>J40+J43</f>
        <v>267121000</v>
      </c>
      <c r="K39" s="97">
        <f t="shared" ref="K39:K44" si="14">L39/J39</f>
        <v>1.7314250845122621E-2</v>
      </c>
      <c r="L39" s="79">
        <f>L40+L43</f>
        <v>4625000</v>
      </c>
      <c r="M39" s="97">
        <f t="shared" si="2"/>
        <v>1.8624518476645414E-2</v>
      </c>
      <c r="N39" s="79">
        <f>N40+N43</f>
        <v>4975000</v>
      </c>
      <c r="O39" s="87">
        <f>P39/J39</f>
        <v>0.12818161058097266</v>
      </c>
      <c r="P39" s="79">
        <f>P40+P43</f>
        <v>34240000</v>
      </c>
      <c r="Q39" s="87">
        <f>R39/J39</f>
        <v>0.73065910954211766</v>
      </c>
      <c r="R39" s="86">
        <f>R40+R43</f>
        <v>195174392</v>
      </c>
      <c r="S39" s="87">
        <f t="shared" si="9"/>
        <v>0.8947794894448583</v>
      </c>
      <c r="T39" s="96">
        <f t="shared" si="9"/>
        <v>239014392</v>
      </c>
      <c r="U39" s="97">
        <f t="shared" si="10"/>
        <v>0.8947794894448583</v>
      </c>
      <c r="V39" s="111">
        <f t="shared" si="10"/>
        <v>89.477948944485831</v>
      </c>
      <c r="W39" s="77">
        <f t="shared" si="11"/>
        <v>0.8947794894448583</v>
      </c>
      <c r="X39" s="80">
        <f t="shared" si="11"/>
        <v>239014392</v>
      </c>
      <c r="Y39" s="77" t="e">
        <f t="shared" si="12"/>
        <v>#DIV/0!</v>
      </c>
      <c r="Z39" s="80" t="e">
        <f t="shared" si="12"/>
        <v>#DIV/0!</v>
      </c>
      <c r="AA39" s="76"/>
      <c r="AD39" s="75"/>
      <c r="AE39" s="75"/>
      <c r="AF39" s="75"/>
    </row>
    <row r="40" spans="1:32" s="30" customFormat="1" ht="51">
      <c r="A40" s="23"/>
      <c r="B40" s="54"/>
      <c r="C40" s="59" t="s">
        <v>282</v>
      </c>
      <c r="D40" s="59" t="s">
        <v>283</v>
      </c>
      <c r="E40" s="24"/>
      <c r="F40" s="25"/>
      <c r="G40" s="26"/>
      <c r="H40" s="26"/>
      <c r="I40" s="84">
        <v>100</v>
      </c>
      <c r="J40" s="73">
        <f>J41+J42</f>
        <v>187971000</v>
      </c>
      <c r="K40" s="91">
        <f t="shared" si="14"/>
        <v>2.4604859260205031E-2</v>
      </c>
      <c r="L40" s="73">
        <f>L41+L42</f>
        <v>4625000</v>
      </c>
      <c r="M40" s="91">
        <f t="shared" si="2"/>
        <v>4.3889748950636E-3</v>
      </c>
      <c r="N40" s="73">
        <f>N41+N42</f>
        <v>825000</v>
      </c>
      <c r="O40" s="106">
        <f>P40/J40</f>
        <v>0.18215575806906384</v>
      </c>
      <c r="P40" s="73">
        <f>P41+P42</f>
        <v>34240000</v>
      </c>
      <c r="Q40" s="107">
        <f>R40/J40</f>
        <v>0.63932410850609933</v>
      </c>
      <c r="R40" s="73">
        <f>R41+R42</f>
        <v>120174392</v>
      </c>
      <c r="S40" s="88">
        <f t="shared" si="9"/>
        <v>0.85047370073043183</v>
      </c>
      <c r="T40" s="93">
        <f t="shared" si="9"/>
        <v>159864392</v>
      </c>
      <c r="U40" s="91">
        <f t="shared" si="10"/>
        <v>0.85047370073043183</v>
      </c>
      <c r="V40" s="112">
        <f t="shared" si="10"/>
        <v>85.047370073043183</v>
      </c>
      <c r="W40" s="24">
        <f t="shared" si="11"/>
        <v>0.85047370073043183</v>
      </c>
      <c r="X40" s="28">
        <f t="shared" si="11"/>
        <v>159864392</v>
      </c>
      <c r="Y40" s="24" t="e">
        <f t="shared" si="12"/>
        <v>#DIV/0!</v>
      </c>
      <c r="Z40" s="28" t="e">
        <f t="shared" si="12"/>
        <v>#DIV/0!</v>
      </c>
      <c r="AA40" s="29"/>
      <c r="AD40" s="75"/>
      <c r="AE40" s="75"/>
      <c r="AF40" s="75"/>
    </row>
    <row r="41" spans="1:32" s="30" customFormat="1" ht="76.5">
      <c r="A41" s="23"/>
      <c r="B41" s="56"/>
      <c r="C41" s="57" t="s">
        <v>284</v>
      </c>
      <c r="D41" s="57" t="s">
        <v>285</v>
      </c>
      <c r="E41" s="24"/>
      <c r="F41" s="25"/>
      <c r="G41" s="26"/>
      <c r="H41" s="26"/>
      <c r="I41" s="85">
        <v>100</v>
      </c>
      <c r="J41" s="27">
        <v>82616000</v>
      </c>
      <c r="K41" s="82">
        <f t="shared" si="14"/>
        <v>4.9929795681223979E-2</v>
      </c>
      <c r="L41" s="27">
        <v>4125000</v>
      </c>
      <c r="M41" s="82">
        <f t="shared" si="2"/>
        <v>0</v>
      </c>
      <c r="N41" s="27">
        <v>0</v>
      </c>
      <c r="O41" s="82">
        <f t="shared" ref="O41:O44" si="15">P41/J41</f>
        <v>0</v>
      </c>
      <c r="P41" s="27">
        <v>0</v>
      </c>
      <c r="Q41" s="19">
        <f t="shared" ref="Q41:Q46" si="16">R41/J41</f>
        <v>0.83366892611600663</v>
      </c>
      <c r="R41" s="108">
        <f>72999392-P41-N41-L41</f>
        <v>68874392</v>
      </c>
      <c r="S41" s="89">
        <f t="shared" si="9"/>
        <v>0.88359872179723065</v>
      </c>
      <c r="T41" s="90">
        <f t="shared" si="9"/>
        <v>72999392</v>
      </c>
      <c r="U41" s="82">
        <f t="shared" si="10"/>
        <v>0.88359872179723065</v>
      </c>
      <c r="V41" s="110">
        <f t="shared" si="10"/>
        <v>88.359872179723055</v>
      </c>
      <c r="W41" s="24">
        <f t="shared" si="11"/>
        <v>0.88359872179723065</v>
      </c>
      <c r="X41" s="28">
        <f t="shared" si="11"/>
        <v>72999392</v>
      </c>
      <c r="Y41" s="24" t="e">
        <f t="shared" si="12"/>
        <v>#DIV/0!</v>
      </c>
      <c r="Z41" s="28" t="e">
        <f t="shared" si="12"/>
        <v>#DIV/0!</v>
      </c>
      <c r="AA41" s="29"/>
      <c r="AD41" s="83">
        <f>4125000-L41</f>
        <v>0</v>
      </c>
      <c r="AE41" s="75"/>
      <c r="AF41" s="75"/>
    </row>
    <row r="42" spans="1:32" s="30" customFormat="1" ht="38.25">
      <c r="A42" s="23"/>
      <c r="B42" s="56"/>
      <c r="C42" s="57" t="s">
        <v>286</v>
      </c>
      <c r="D42" s="66" t="s">
        <v>287</v>
      </c>
      <c r="E42" s="24"/>
      <c r="F42" s="25"/>
      <c r="G42" s="26"/>
      <c r="H42" s="26"/>
      <c r="I42" s="85">
        <v>100</v>
      </c>
      <c r="J42" s="27">
        <v>105355000</v>
      </c>
      <c r="K42" s="82">
        <f t="shared" si="14"/>
        <v>4.7458592378150062E-3</v>
      </c>
      <c r="L42" s="27">
        <v>500000</v>
      </c>
      <c r="M42" s="82">
        <f t="shared" si="2"/>
        <v>7.8306677423947597E-3</v>
      </c>
      <c r="N42" s="27">
        <v>825000</v>
      </c>
      <c r="O42" s="82">
        <f t="shared" si="15"/>
        <v>0.32499644060557165</v>
      </c>
      <c r="P42" s="103">
        <v>34240000</v>
      </c>
      <c r="Q42" s="19">
        <f t="shared" si="16"/>
        <v>0.48692515779981965</v>
      </c>
      <c r="R42" s="108">
        <f>86865000-P42-N42-L42</f>
        <v>51300000</v>
      </c>
      <c r="S42" s="89">
        <f t="shared" si="9"/>
        <v>0.82449812538560108</v>
      </c>
      <c r="T42" s="90">
        <f t="shared" si="9"/>
        <v>86865000</v>
      </c>
      <c r="U42" s="82">
        <f t="shared" si="10"/>
        <v>0.82449812538560108</v>
      </c>
      <c r="V42" s="110">
        <f t="shared" si="10"/>
        <v>82.44981253856011</v>
      </c>
      <c r="W42" s="24">
        <f t="shared" si="11"/>
        <v>0.82449812538560108</v>
      </c>
      <c r="X42" s="28">
        <f t="shared" si="11"/>
        <v>86865000</v>
      </c>
      <c r="Y42" s="24" t="e">
        <f t="shared" si="12"/>
        <v>#DIV/0!</v>
      </c>
      <c r="Z42" s="28" t="e">
        <f t="shared" si="12"/>
        <v>#DIV/0!</v>
      </c>
      <c r="AA42" s="29"/>
      <c r="AC42" s="101"/>
      <c r="AD42" s="83">
        <f>1325000-L42</f>
        <v>825000</v>
      </c>
      <c r="AE42" s="75"/>
      <c r="AF42" s="75"/>
    </row>
    <row r="43" spans="1:32" s="30" customFormat="1" ht="38.25">
      <c r="A43" s="23"/>
      <c r="B43" s="54"/>
      <c r="C43" s="59" t="s">
        <v>288</v>
      </c>
      <c r="D43" s="59" t="s">
        <v>289</v>
      </c>
      <c r="E43" s="24"/>
      <c r="F43" s="25"/>
      <c r="G43" s="26"/>
      <c r="H43" s="26"/>
      <c r="I43" s="84">
        <f>I44</f>
        <v>100</v>
      </c>
      <c r="J43" s="73">
        <f>J44</f>
        <v>79150000</v>
      </c>
      <c r="K43" s="91">
        <f t="shared" si="14"/>
        <v>0</v>
      </c>
      <c r="L43" s="73">
        <f>L44</f>
        <v>0</v>
      </c>
      <c r="M43" s="91">
        <f t="shared" si="2"/>
        <v>5.2432090966519268E-2</v>
      </c>
      <c r="N43" s="73">
        <f>N44</f>
        <v>4150000</v>
      </c>
      <c r="O43" s="106">
        <f>P43/J43</f>
        <v>0</v>
      </c>
      <c r="P43" s="73">
        <f>P44</f>
        <v>0</v>
      </c>
      <c r="Q43" s="107">
        <f t="shared" si="16"/>
        <v>0.94756790903348076</v>
      </c>
      <c r="R43" s="105">
        <f>R44</f>
        <v>75000000</v>
      </c>
      <c r="S43" s="88">
        <f t="shared" si="9"/>
        <v>1</v>
      </c>
      <c r="T43" s="93">
        <f t="shared" si="9"/>
        <v>79150000</v>
      </c>
      <c r="U43" s="91">
        <f t="shared" si="10"/>
        <v>1</v>
      </c>
      <c r="V43" s="112">
        <f t="shared" si="10"/>
        <v>100</v>
      </c>
      <c r="W43" s="24">
        <f t="shared" si="11"/>
        <v>1</v>
      </c>
      <c r="X43" s="28">
        <f t="shared" si="11"/>
        <v>79150000</v>
      </c>
      <c r="Y43" s="24" t="e">
        <f t="shared" si="12"/>
        <v>#DIV/0!</v>
      </c>
      <c r="Z43" s="28" t="e">
        <f t="shared" si="12"/>
        <v>#DIV/0!</v>
      </c>
      <c r="AA43" s="29"/>
      <c r="AD43" s="75"/>
      <c r="AE43" s="75"/>
      <c r="AF43" s="75"/>
    </row>
    <row r="44" spans="1:32" s="30" customFormat="1" ht="51">
      <c r="A44" s="23"/>
      <c r="B44" s="56"/>
      <c r="C44" s="57" t="s">
        <v>290</v>
      </c>
      <c r="D44" s="66" t="s">
        <v>291</v>
      </c>
      <c r="E44" s="24"/>
      <c r="F44" s="25"/>
      <c r="G44" s="26"/>
      <c r="H44" s="26"/>
      <c r="I44" s="85">
        <v>100</v>
      </c>
      <c r="J44" s="27">
        <v>79150000</v>
      </c>
      <c r="K44" s="82">
        <f t="shared" si="14"/>
        <v>0</v>
      </c>
      <c r="L44" s="27">
        <v>0</v>
      </c>
      <c r="M44" s="82">
        <f t="shared" si="2"/>
        <v>5.2432090966519268E-2</v>
      </c>
      <c r="N44" s="27">
        <v>4150000</v>
      </c>
      <c r="O44" s="82">
        <f t="shared" si="15"/>
        <v>0</v>
      </c>
      <c r="P44" s="27">
        <v>0</v>
      </c>
      <c r="Q44" s="19">
        <f t="shared" si="16"/>
        <v>0.94756790903348076</v>
      </c>
      <c r="R44" s="108">
        <f>79150000-P44-N44-L44</f>
        <v>75000000</v>
      </c>
      <c r="S44" s="89">
        <f t="shared" si="9"/>
        <v>1</v>
      </c>
      <c r="T44" s="90">
        <f t="shared" si="9"/>
        <v>79150000</v>
      </c>
      <c r="U44" s="82">
        <f t="shared" si="10"/>
        <v>1</v>
      </c>
      <c r="V44" s="110">
        <f t="shared" si="10"/>
        <v>100</v>
      </c>
      <c r="W44" s="24">
        <f t="shared" si="11"/>
        <v>1</v>
      </c>
      <c r="X44" s="28">
        <f t="shared" si="11"/>
        <v>79150000</v>
      </c>
      <c r="Y44" s="24" t="e">
        <f t="shared" si="12"/>
        <v>#DIV/0!</v>
      </c>
      <c r="Z44" s="28" t="e">
        <f t="shared" si="12"/>
        <v>#DIV/0!</v>
      </c>
      <c r="AA44" s="29"/>
      <c r="AD44" s="75"/>
      <c r="AE44" s="75"/>
      <c r="AF44" s="75"/>
    </row>
    <row r="45" spans="1:32" s="30" customFormat="1" ht="91.5" customHeight="1">
      <c r="A45" s="98" t="s">
        <v>315</v>
      </c>
      <c r="B45" s="51" t="s">
        <v>326</v>
      </c>
      <c r="C45" s="52" t="s">
        <v>292</v>
      </c>
      <c r="D45" s="52" t="s">
        <v>293</v>
      </c>
      <c r="E45" s="77"/>
      <c r="F45" s="78"/>
      <c r="G45" s="26"/>
      <c r="H45" s="26"/>
      <c r="I45" s="86">
        <f>I46</f>
        <v>100</v>
      </c>
      <c r="J45" s="79">
        <f>J46</f>
        <v>3560270613</v>
      </c>
      <c r="K45" s="97">
        <f>L45/J45</f>
        <v>2.9608142598794077E-2</v>
      </c>
      <c r="L45" s="79">
        <f>L46</f>
        <v>105413000</v>
      </c>
      <c r="M45" s="97">
        <f t="shared" si="2"/>
        <v>0.13411817580845223</v>
      </c>
      <c r="N45" s="79">
        <f>N46</f>
        <v>477497000</v>
      </c>
      <c r="O45" s="92">
        <f>P45/J45</f>
        <v>0.17535948102380947</v>
      </c>
      <c r="P45" s="79">
        <f>P46</f>
        <v>624327207</v>
      </c>
      <c r="Q45" s="97">
        <f>Q46</f>
        <v>0.65169863535876116</v>
      </c>
      <c r="R45" s="86">
        <f>R46</f>
        <v>2320223500</v>
      </c>
      <c r="S45" s="87">
        <f t="shared" si="9"/>
        <v>0.99078443478981693</v>
      </c>
      <c r="T45" s="96">
        <f t="shared" si="9"/>
        <v>3527460707</v>
      </c>
      <c r="U45" s="97">
        <f t="shared" si="10"/>
        <v>0.99078443478981693</v>
      </c>
      <c r="V45" s="111">
        <f t="shared" si="10"/>
        <v>99.078443478981697</v>
      </c>
      <c r="W45" s="77">
        <f t="shared" si="11"/>
        <v>0.99078443478981693</v>
      </c>
      <c r="X45" s="80">
        <f t="shared" si="11"/>
        <v>3527460707</v>
      </c>
      <c r="Y45" s="77" t="e">
        <f t="shared" si="12"/>
        <v>#DIV/0!</v>
      </c>
      <c r="Z45" s="80" t="e">
        <f t="shared" si="12"/>
        <v>#DIV/0!</v>
      </c>
      <c r="AA45" s="76"/>
      <c r="AD45" s="75"/>
      <c r="AE45" s="75"/>
      <c r="AF45" s="75"/>
    </row>
    <row r="46" spans="1:32" s="30" customFormat="1" ht="25.5">
      <c r="A46" s="23"/>
      <c r="B46" s="54"/>
      <c r="C46" s="59" t="s">
        <v>294</v>
      </c>
      <c r="D46" s="67" t="s">
        <v>295</v>
      </c>
      <c r="E46" s="24"/>
      <c r="F46" s="25"/>
      <c r="G46" s="26"/>
      <c r="H46" s="26"/>
      <c r="I46" s="84">
        <v>100</v>
      </c>
      <c r="J46" s="73">
        <f>J47+J48</f>
        <v>3560270613</v>
      </c>
      <c r="K46" s="91">
        <f>L46/J46</f>
        <v>2.9608142598794077E-2</v>
      </c>
      <c r="L46" s="73">
        <f>L47+L48</f>
        <v>105413000</v>
      </c>
      <c r="M46" s="91">
        <f t="shared" si="2"/>
        <v>0.13411817580845223</v>
      </c>
      <c r="N46" s="73">
        <f>N47+N48</f>
        <v>477497000</v>
      </c>
      <c r="O46" s="106">
        <f>P46/J46</f>
        <v>0.17535948102380947</v>
      </c>
      <c r="P46" s="73">
        <f>P47+P48</f>
        <v>624327207</v>
      </c>
      <c r="Q46" s="107">
        <f t="shared" si="16"/>
        <v>0.65169863535876116</v>
      </c>
      <c r="R46" s="73">
        <f>R47+R48</f>
        <v>2320223500</v>
      </c>
      <c r="S46" s="88">
        <f t="shared" si="9"/>
        <v>0.99078443478981693</v>
      </c>
      <c r="T46" s="93">
        <f t="shared" si="9"/>
        <v>3527460707</v>
      </c>
      <c r="U46" s="91">
        <f t="shared" si="10"/>
        <v>0.99078443478981693</v>
      </c>
      <c r="V46" s="112">
        <f t="shared" si="10"/>
        <v>99.078443478981697</v>
      </c>
      <c r="W46" s="24">
        <f t="shared" si="11"/>
        <v>0.99078443478981693</v>
      </c>
      <c r="X46" s="28">
        <f t="shared" si="11"/>
        <v>3527460707</v>
      </c>
      <c r="Y46" s="24" t="e">
        <f t="shared" si="12"/>
        <v>#DIV/0!</v>
      </c>
      <c r="Z46" s="28" t="e">
        <f t="shared" si="12"/>
        <v>#DIV/0!</v>
      </c>
      <c r="AA46" s="29"/>
      <c r="AD46" s="75"/>
      <c r="AE46" s="75"/>
      <c r="AF46" s="75"/>
    </row>
    <row r="47" spans="1:32" s="30" customFormat="1" ht="38.25">
      <c r="A47" s="23"/>
      <c r="B47" s="56"/>
      <c r="C47" s="57" t="s">
        <v>296</v>
      </c>
      <c r="D47" s="66" t="s">
        <v>297</v>
      </c>
      <c r="E47" s="24"/>
      <c r="F47" s="25"/>
      <c r="G47" s="26"/>
      <c r="H47" s="26"/>
      <c r="I47" s="85">
        <v>100</v>
      </c>
      <c r="J47" s="27">
        <v>1259836471</v>
      </c>
      <c r="K47" s="82">
        <f t="shared" ref="K47:K48" si="17">L47/J47</f>
        <v>0</v>
      </c>
      <c r="L47" s="27">
        <v>0</v>
      </c>
      <c r="M47" s="82">
        <f t="shared" si="2"/>
        <v>0.2761985448189172</v>
      </c>
      <c r="N47" s="27">
        <v>347965000</v>
      </c>
      <c r="O47" s="82">
        <f t="shared" ref="O47:O48" si="18">P47/J47</f>
        <v>0.32702276563955734</v>
      </c>
      <c r="P47" s="103">
        <v>411995207</v>
      </c>
      <c r="Q47" s="19">
        <f t="shared" ref="Q47:Q48" si="19">R47/J47</f>
        <v>0.38789796235387758</v>
      </c>
      <c r="R47" s="108">
        <f>1248648207-P47-N47-L47</f>
        <v>488688000</v>
      </c>
      <c r="S47" s="89">
        <f t="shared" si="9"/>
        <v>0.99111927281235213</v>
      </c>
      <c r="T47" s="90">
        <f t="shared" si="9"/>
        <v>1248648207</v>
      </c>
      <c r="U47" s="82">
        <f t="shared" si="10"/>
        <v>0.99111927281235213</v>
      </c>
      <c r="V47" s="110">
        <f t="shared" si="10"/>
        <v>99.111927281235211</v>
      </c>
      <c r="W47" s="24">
        <f t="shared" si="11"/>
        <v>0.99111927281235213</v>
      </c>
      <c r="X47" s="28">
        <f t="shared" si="11"/>
        <v>1248648207</v>
      </c>
      <c r="Y47" s="24" t="e">
        <f t="shared" si="12"/>
        <v>#DIV/0!</v>
      </c>
      <c r="Z47" s="28" t="e">
        <f t="shared" si="12"/>
        <v>#DIV/0!</v>
      </c>
      <c r="AA47" s="29"/>
      <c r="AC47" s="101"/>
      <c r="AD47" s="75"/>
      <c r="AE47" s="75"/>
      <c r="AF47" s="75"/>
    </row>
    <row r="48" spans="1:32" s="30" customFormat="1" ht="25.5">
      <c r="A48" s="23"/>
      <c r="B48" s="56"/>
      <c r="C48" s="57" t="s">
        <v>298</v>
      </c>
      <c r="D48" s="57" t="s">
        <v>299</v>
      </c>
      <c r="E48" s="24"/>
      <c r="F48" s="25"/>
      <c r="G48" s="26"/>
      <c r="H48" s="26"/>
      <c r="I48" s="85">
        <v>100</v>
      </c>
      <c r="J48" s="27">
        <v>2300434142</v>
      </c>
      <c r="K48" s="82">
        <f t="shared" si="17"/>
        <v>4.5823089683564605E-2</v>
      </c>
      <c r="L48" s="27">
        <v>105413000</v>
      </c>
      <c r="M48" s="82">
        <f t="shared" si="2"/>
        <v>5.6307632387765177E-2</v>
      </c>
      <c r="N48" s="27">
        <v>129532000</v>
      </c>
      <c r="O48" s="82">
        <f t="shared" si="18"/>
        <v>9.2300838404092853E-2</v>
      </c>
      <c r="P48" s="103">
        <v>212332000</v>
      </c>
      <c r="Q48" s="19">
        <f t="shared" si="19"/>
        <v>0.79616949973089035</v>
      </c>
      <c r="R48" s="108">
        <f>2278812500-P48-N48-L48</f>
        <v>1831535500</v>
      </c>
      <c r="S48" s="89">
        <f t="shared" si="9"/>
        <v>0.990601060206313</v>
      </c>
      <c r="T48" s="90">
        <f t="shared" si="9"/>
        <v>2278812500</v>
      </c>
      <c r="U48" s="82">
        <f t="shared" si="10"/>
        <v>0.990601060206313</v>
      </c>
      <c r="V48" s="110">
        <f t="shared" si="10"/>
        <v>99.060106020631295</v>
      </c>
      <c r="W48" s="24">
        <f t="shared" si="11"/>
        <v>0.990601060206313</v>
      </c>
      <c r="X48" s="28">
        <f t="shared" si="11"/>
        <v>2278812500</v>
      </c>
      <c r="Y48" s="24" t="e">
        <f t="shared" si="12"/>
        <v>#DIV/0!</v>
      </c>
      <c r="Z48" s="28" t="e">
        <f t="shared" si="12"/>
        <v>#DIV/0!</v>
      </c>
      <c r="AA48" s="29"/>
      <c r="AD48" s="83">
        <f>234945000-L48</f>
        <v>129532000</v>
      </c>
      <c r="AE48" s="75"/>
      <c r="AF48" s="75"/>
    </row>
    <row r="49" spans="1:32" s="30" customFormat="1" ht="76.5">
      <c r="A49" s="98" t="s">
        <v>316</v>
      </c>
      <c r="B49" s="51" t="s">
        <v>326</v>
      </c>
      <c r="C49" s="52" t="s">
        <v>300</v>
      </c>
      <c r="D49" s="53" t="s">
        <v>301</v>
      </c>
      <c r="E49" s="77"/>
      <c r="F49" s="78"/>
      <c r="G49" s="26"/>
      <c r="H49" s="26"/>
      <c r="I49" s="86">
        <f>I50</f>
        <v>100</v>
      </c>
      <c r="J49" s="79">
        <f>J50</f>
        <v>343913200</v>
      </c>
      <c r="K49" s="97">
        <f t="shared" ref="K49:K51" si="20">L49/J49</f>
        <v>3.5485698135459759E-3</v>
      </c>
      <c r="L49" s="79">
        <f>L50</f>
        <v>1220400</v>
      </c>
      <c r="M49" s="97">
        <f t="shared" si="2"/>
        <v>0.23712378588550831</v>
      </c>
      <c r="N49" s="79">
        <f>N50</f>
        <v>81550000</v>
      </c>
      <c r="O49" s="87">
        <f>P49/J49</f>
        <v>0.28638970530936292</v>
      </c>
      <c r="P49" s="79">
        <f>P50</f>
        <v>98493200</v>
      </c>
      <c r="Q49" s="97">
        <f>Q50</f>
        <v>0.40368907038171259</v>
      </c>
      <c r="R49" s="86">
        <f>R50</f>
        <v>138834000</v>
      </c>
      <c r="S49" s="87">
        <f t="shared" si="9"/>
        <v>0.93075113139012988</v>
      </c>
      <c r="T49" s="96">
        <f t="shared" si="9"/>
        <v>320097600</v>
      </c>
      <c r="U49" s="97">
        <f t="shared" si="10"/>
        <v>0.93075113139012977</v>
      </c>
      <c r="V49" s="111">
        <f t="shared" si="10"/>
        <v>93.075113139012984</v>
      </c>
      <c r="W49" s="77">
        <f t="shared" si="11"/>
        <v>0.93075113139012988</v>
      </c>
      <c r="X49" s="80">
        <f t="shared" si="11"/>
        <v>320097600</v>
      </c>
      <c r="Y49" s="77" t="e">
        <f t="shared" si="12"/>
        <v>#DIV/0!</v>
      </c>
      <c r="Z49" s="80" t="e">
        <f t="shared" si="12"/>
        <v>#DIV/0!</v>
      </c>
      <c r="AA49" s="76"/>
      <c r="AD49" s="75"/>
      <c r="AE49" s="75"/>
      <c r="AF49" s="75"/>
    </row>
    <row r="50" spans="1:32" s="30" customFormat="1" ht="51">
      <c r="A50" s="23"/>
      <c r="B50" s="54"/>
      <c r="C50" s="55" t="s">
        <v>302</v>
      </c>
      <c r="D50" s="55" t="s">
        <v>303</v>
      </c>
      <c r="E50" s="24"/>
      <c r="F50" s="25"/>
      <c r="G50" s="26"/>
      <c r="H50" s="26"/>
      <c r="I50" s="84">
        <f>I51</f>
        <v>100</v>
      </c>
      <c r="J50" s="73">
        <f>J51</f>
        <v>343913200</v>
      </c>
      <c r="K50" s="91">
        <f t="shared" si="20"/>
        <v>3.5485698135459759E-3</v>
      </c>
      <c r="L50" s="73">
        <f>L51</f>
        <v>1220400</v>
      </c>
      <c r="M50" s="91">
        <f t="shared" si="2"/>
        <v>0.23712378588550831</v>
      </c>
      <c r="N50" s="73">
        <f>N51</f>
        <v>81550000</v>
      </c>
      <c r="O50" s="106">
        <f>P50/J50</f>
        <v>0.28638970530936292</v>
      </c>
      <c r="P50" s="73">
        <f>P51</f>
        <v>98493200</v>
      </c>
      <c r="Q50" s="107">
        <f t="shared" ref="Q50:Q51" si="21">R50/J50</f>
        <v>0.40368907038171259</v>
      </c>
      <c r="R50" s="73">
        <f>R51</f>
        <v>138834000</v>
      </c>
      <c r="S50" s="88">
        <f t="shared" si="9"/>
        <v>0.93075113139012988</v>
      </c>
      <c r="T50" s="93">
        <f t="shared" si="9"/>
        <v>320097600</v>
      </c>
      <c r="U50" s="91">
        <f t="shared" si="10"/>
        <v>0.93075113139012977</v>
      </c>
      <c r="V50" s="112">
        <f t="shared" si="10"/>
        <v>93.075113139012984</v>
      </c>
      <c r="W50" s="24">
        <f t="shared" si="11"/>
        <v>0.93075113139012988</v>
      </c>
      <c r="X50" s="28">
        <f t="shared" si="11"/>
        <v>320097600</v>
      </c>
      <c r="Y50" s="24" t="e">
        <f t="shared" si="12"/>
        <v>#DIV/0!</v>
      </c>
      <c r="Z50" s="28" t="e">
        <f t="shared" si="12"/>
        <v>#DIV/0!</v>
      </c>
      <c r="AA50" s="29"/>
      <c r="AD50" s="75"/>
      <c r="AE50" s="75"/>
      <c r="AF50" s="75"/>
    </row>
    <row r="51" spans="1:32" s="30" customFormat="1" ht="89.25">
      <c r="A51" s="23"/>
      <c r="B51" s="56"/>
      <c r="C51" s="68" t="s">
        <v>304</v>
      </c>
      <c r="D51" s="68" t="s">
        <v>305</v>
      </c>
      <c r="E51" s="24"/>
      <c r="F51" s="25"/>
      <c r="G51" s="26"/>
      <c r="H51" s="26"/>
      <c r="I51" s="85">
        <v>100</v>
      </c>
      <c r="J51" s="27">
        <v>343913200</v>
      </c>
      <c r="K51" s="82">
        <f t="shared" si="20"/>
        <v>3.5485698135459759E-3</v>
      </c>
      <c r="L51" s="27">
        <v>1220400</v>
      </c>
      <c r="M51" s="82">
        <f t="shared" si="2"/>
        <v>0.23712378588550831</v>
      </c>
      <c r="N51" s="27">
        <v>81550000</v>
      </c>
      <c r="O51" s="82">
        <f t="shared" ref="O51" si="22">P51/J51</f>
        <v>0.28638970530936292</v>
      </c>
      <c r="P51" s="103">
        <v>98493200</v>
      </c>
      <c r="Q51" s="19">
        <f t="shared" si="21"/>
        <v>0.40368907038171259</v>
      </c>
      <c r="R51" s="108">
        <f>320097600-P51-N51-L51</f>
        <v>138834000</v>
      </c>
      <c r="S51" s="89">
        <f t="shared" si="9"/>
        <v>0.93075113139012988</v>
      </c>
      <c r="T51" s="90">
        <f t="shared" si="9"/>
        <v>320097600</v>
      </c>
      <c r="U51" s="82">
        <f t="shared" si="10"/>
        <v>0.93075113139012977</v>
      </c>
      <c r="V51" s="110">
        <f t="shared" si="10"/>
        <v>93.075113139012984</v>
      </c>
      <c r="W51" s="24">
        <f t="shared" si="11"/>
        <v>0.93075113139012988</v>
      </c>
      <c r="X51" s="28">
        <f t="shared" si="11"/>
        <v>320097600</v>
      </c>
      <c r="Y51" s="24" t="e">
        <f t="shared" si="12"/>
        <v>#DIV/0!</v>
      </c>
      <c r="Z51" s="28" t="e">
        <f t="shared" si="12"/>
        <v>#DIV/0!</v>
      </c>
      <c r="AA51" s="29"/>
      <c r="AC51" s="101"/>
      <c r="AD51" s="83">
        <f>82770400-L51</f>
        <v>81550000</v>
      </c>
      <c r="AE51" s="75"/>
      <c r="AF51" s="75"/>
    </row>
    <row r="52" spans="1:32" s="30" customFormat="1" ht="85.5" customHeight="1">
      <c r="A52" s="98" t="s">
        <v>317</v>
      </c>
      <c r="B52" s="51" t="s">
        <v>326</v>
      </c>
      <c r="C52" s="52" t="s">
        <v>320</v>
      </c>
      <c r="D52" s="53" t="s">
        <v>323</v>
      </c>
      <c r="E52" s="77"/>
      <c r="F52" s="78"/>
      <c r="G52" s="26"/>
      <c r="H52" s="26"/>
      <c r="I52" s="86">
        <f>I53</f>
        <v>100</v>
      </c>
      <c r="J52" s="79">
        <f>J53</f>
        <v>37685000</v>
      </c>
      <c r="K52" s="97">
        <f t="shared" ref="K52:K54" si="23">L52/J52</f>
        <v>0</v>
      </c>
      <c r="L52" s="79">
        <f>L53</f>
        <v>0</v>
      </c>
      <c r="M52" s="97">
        <f t="shared" si="2"/>
        <v>0</v>
      </c>
      <c r="N52" s="79">
        <f>N53</f>
        <v>0</v>
      </c>
      <c r="O52" s="87">
        <f>P52/J52</f>
        <v>1</v>
      </c>
      <c r="P52" s="79">
        <f>P53</f>
        <v>37685000</v>
      </c>
      <c r="Q52" s="97">
        <f>Q53</f>
        <v>0</v>
      </c>
      <c r="R52" s="86">
        <f>R53</f>
        <v>0</v>
      </c>
      <c r="S52" s="87">
        <f t="shared" ref="S52:S54" si="24">Q52+O52+M52+K52</f>
        <v>1</v>
      </c>
      <c r="T52" s="96">
        <f t="shared" ref="T52:T54" si="25">R52+P52+N52+L52</f>
        <v>37685000</v>
      </c>
      <c r="U52" s="97">
        <f t="shared" ref="U52:U54" si="26">S52/I52*100</f>
        <v>1</v>
      </c>
      <c r="V52" s="111">
        <f t="shared" ref="V52:V54" si="27">T52/J52*100</f>
        <v>100</v>
      </c>
      <c r="W52" s="77">
        <f t="shared" ref="W52:W54" si="28">G52+S52</f>
        <v>1</v>
      </c>
      <c r="X52" s="80">
        <f t="shared" ref="X52:X54" si="29">H52+T52</f>
        <v>37685000</v>
      </c>
      <c r="Y52" s="77" t="e">
        <f t="shared" ref="Y52:Y54" si="30">W52/E52*100</f>
        <v>#DIV/0!</v>
      </c>
      <c r="Z52" s="80" t="e">
        <f t="shared" ref="Z52:Z54" si="31">X52/F52*100</f>
        <v>#DIV/0!</v>
      </c>
      <c r="AA52" s="76"/>
      <c r="AD52" s="75"/>
      <c r="AE52" s="75"/>
      <c r="AF52" s="75"/>
    </row>
    <row r="53" spans="1:32" s="30" customFormat="1" ht="51">
      <c r="A53" s="23"/>
      <c r="B53" s="54"/>
      <c r="C53" s="55" t="s">
        <v>321</v>
      </c>
      <c r="D53" s="55" t="s">
        <v>324</v>
      </c>
      <c r="E53" s="24"/>
      <c r="F53" s="25"/>
      <c r="G53" s="26"/>
      <c r="H53" s="26"/>
      <c r="I53" s="84">
        <f>I54</f>
        <v>100</v>
      </c>
      <c r="J53" s="73">
        <f>J54</f>
        <v>37685000</v>
      </c>
      <c r="K53" s="91">
        <f t="shared" si="23"/>
        <v>0</v>
      </c>
      <c r="L53" s="73">
        <f>L54</f>
        <v>0</v>
      </c>
      <c r="M53" s="91">
        <f t="shared" si="2"/>
        <v>0</v>
      </c>
      <c r="N53" s="73">
        <f>N54</f>
        <v>0</v>
      </c>
      <c r="O53" s="106">
        <f>P53/J53</f>
        <v>1</v>
      </c>
      <c r="P53" s="73">
        <f>P54</f>
        <v>37685000</v>
      </c>
      <c r="Q53" s="91">
        <f>R53/J53</f>
        <v>0</v>
      </c>
      <c r="R53" s="73">
        <f>R54</f>
        <v>0</v>
      </c>
      <c r="S53" s="88">
        <f t="shared" si="24"/>
        <v>1</v>
      </c>
      <c r="T53" s="93">
        <f t="shared" si="25"/>
        <v>37685000</v>
      </c>
      <c r="U53" s="91">
        <f t="shared" si="26"/>
        <v>1</v>
      </c>
      <c r="V53" s="112">
        <f t="shared" si="27"/>
        <v>100</v>
      </c>
      <c r="W53" s="70">
        <f t="shared" si="28"/>
        <v>1</v>
      </c>
      <c r="X53" s="94">
        <f t="shared" si="29"/>
        <v>37685000</v>
      </c>
      <c r="Y53" s="70" t="e">
        <f t="shared" si="30"/>
        <v>#DIV/0!</v>
      </c>
      <c r="Z53" s="94" t="e">
        <f t="shared" si="31"/>
        <v>#DIV/0!</v>
      </c>
      <c r="AA53" s="95"/>
      <c r="AD53" s="75"/>
      <c r="AE53" s="75"/>
      <c r="AF53" s="75"/>
    </row>
    <row r="54" spans="1:32" s="30" customFormat="1" ht="165.75">
      <c r="A54" s="23"/>
      <c r="B54" s="56"/>
      <c r="C54" s="57" t="s">
        <v>322</v>
      </c>
      <c r="D54" s="69" t="s">
        <v>324</v>
      </c>
      <c r="E54" s="24"/>
      <c r="F54" s="25"/>
      <c r="G54" s="26"/>
      <c r="H54" s="26"/>
      <c r="I54" s="85">
        <v>100</v>
      </c>
      <c r="J54" s="27">
        <v>37685000</v>
      </c>
      <c r="K54" s="82">
        <f t="shared" si="23"/>
        <v>0</v>
      </c>
      <c r="L54" s="27">
        <v>0</v>
      </c>
      <c r="M54" s="82">
        <f>N54/J54</f>
        <v>0</v>
      </c>
      <c r="N54" s="27">
        <v>0</v>
      </c>
      <c r="O54" s="82">
        <f t="shared" ref="O54" si="32">P54/J54</f>
        <v>1</v>
      </c>
      <c r="P54" s="103">
        <v>37685000</v>
      </c>
      <c r="Q54" s="82">
        <f>R54/J54</f>
        <v>0</v>
      </c>
      <c r="R54" s="27">
        <v>0</v>
      </c>
      <c r="S54" s="89">
        <f t="shared" si="24"/>
        <v>1</v>
      </c>
      <c r="T54" s="90">
        <f t="shared" si="25"/>
        <v>37685000</v>
      </c>
      <c r="U54" s="82">
        <f t="shared" si="26"/>
        <v>1</v>
      </c>
      <c r="V54" s="110">
        <f t="shared" si="27"/>
        <v>100</v>
      </c>
      <c r="W54" s="24">
        <f t="shared" si="28"/>
        <v>1</v>
      </c>
      <c r="X54" s="28">
        <f t="shared" si="29"/>
        <v>37685000</v>
      </c>
      <c r="Y54" s="24" t="e">
        <f t="shared" si="30"/>
        <v>#DIV/0!</v>
      </c>
      <c r="Z54" s="28" t="e">
        <f t="shared" si="31"/>
        <v>#DIV/0!</v>
      </c>
      <c r="AA54" s="29"/>
      <c r="AD54" s="75"/>
      <c r="AE54" s="75"/>
      <c r="AF54" s="75"/>
    </row>
    <row r="55" spans="1:32" s="30" customFormat="1" ht="87.75" customHeight="1">
      <c r="A55" s="98" t="s">
        <v>319</v>
      </c>
      <c r="B55" s="51" t="s">
        <v>326</v>
      </c>
      <c r="C55" s="52" t="s">
        <v>306</v>
      </c>
      <c r="D55" s="53" t="s">
        <v>307</v>
      </c>
      <c r="E55" s="77"/>
      <c r="F55" s="78"/>
      <c r="G55" s="26"/>
      <c r="H55" s="26"/>
      <c r="I55" s="86">
        <f>I56</f>
        <v>100</v>
      </c>
      <c r="J55" s="79">
        <f>J56</f>
        <v>24175000</v>
      </c>
      <c r="K55" s="97">
        <f t="shared" ref="K55:K57" si="33">L55/J55</f>
        <v>0</v>
      </c>
      <c r="L55" s="79">
        <f>L56</f>
        <v>0</v>
      </c>
      <c r="M55" s="97">
        <f t="shared" si="2"/>
        <v>4.6535677352637021E-2</v>
      </c>
      <c r="N55" s="79">
        <f>N56</f>
        <v>1125000</v>
      </c>
      <c r="O55" s="92">
        <f>P55/J55</f>
        <v>0</v>
      </c>
      <c r="P55" s="79">
        <f>P56</f>
        <v>0</v>
      </c>
      <c r="Q55" s="97">
        <f>Q56</f>
        <v>0.85842812823164427</v>
      </c>
      <c r="R55" s="86">
        <f>R56</f>
        <v>20752500</v>
      </c>
      <c r="S55" s="87">
        <f t="shared" si="9"/>
        <v>0.90496380558428124</v>
      </c>
      <c r="T55" s="96">
        <f t="shared" si="9"/>
        <v>21877500</v>
      </c>
      <c r="U55" s="97">
        <f t="shared" si="10"/>
        <v>0.90496380558428113</v>
      </c>
      <c r="V55" s="111">
        <f t="shared" si="10"/>
        <v>90.496380558428129</v>
      </c>
      <c r="W55" s="77">
        <f t="shared" si="11"/>
        <v>0.90496380558428124</v>
      </c>
      <c r="X55" s="80">
        <f t="shared" si="11"/>
        <v>21877500</v>
      </c>
      <c r="Y55" s="77" t="e">
        <f t="shared" si="12"/>
        <v>#DIV/0!</v>
      </c>
      <c r="Z55" s="80" t="e">
        <f t="shared" si="12"/>
        <v>#DIV/0!</v>
      </c>
      <c r="AA55" s="76"/>
      <c r="AD55" s="75"/>
      <c r="AE55" s="75"/>
      <c r="AF55" s="75"/>
    </row>
    <row r="56" spans="1:32" s="30" customFormat="1" ht="51">
      <c r="A56" s="23"/>
      <c r="B56" s="54"/>
      <c r="C56" s="55" t="s">
        <v>308</v>
      </c>
      <c r="D56" s="69" t="s">
        <v>309</v>
      </c>
      <c r="E56" s="24"/>
      <c r="F56" s="25"/>
      <c r="G56" s="26"/>
      <c r="H56" s="26"/>
      <c r="I56" s="84">
        <f>I57</f>
        <v>100</v>
      </c>
      <c r="J56" s="73">
        <f>J57</f>
        <v>24175000</v>
      </c>
      <c r="K56" s="91">
        <f t="shared" si="33"/>
        <v>0</v>
      </c>
      <c r="L56" s="73">
        <f>L57</f>
        <v>0</v>
      </c>
      <c r="M56" s="91">
        <f t="shared" si="2"/>
        <v>4.6535677352637021E-2</v>
      </c>
      <c r="N56" s="73">
        <f>N57</f>
        <v>1125000</v>
      </c>
      <c r="O56" s="100">
        <f>P56/J56</f>
        <v>0</v>
      </c>
      <c r="P56" s="73">
        <f>P57</f>
        <v>0</v>
      </c>
      <c r="Q56" s="107">
        <f>R56/J56</f>
        <v>0.85842812823164427</v>
      </c>
      <c r="R56" s="105">
        <f>R57</f>
        <v>20752500</v>
      </c>
      <c r="S56" s="88">
        <f t="shared" si="9"/>
        <v>0.90496380558428124</v>
      </c>
      <c r="T56" s="93">
        <f t="shared" si="9"/>
        <v>21877500</v>
      </c>
      <c r="U56" s="91">
        <f t="shared" si="10"/>
        <v>0.90496380558428113</v>
      </c>
      <c r="V56" s="112">
        <f t="shared" si="10"/>
        <v>90.496380558428129</v>
      </c>
      <c r="W56" s="24">
        <f t="shared" si="11"/>
        <v>0.90496380558428124</v>
      </c>
      <c r="X56" s="28">
        <f t="shared" si="11"/>
        <v>21877500</v>
      </c>
      <c r="Y56" s="24" t="e">
        <f t="shared" si="12"/>
        <v>#DIV/0!</v>
      </c>
      <c r="Z56" s="28" t="e">
        <f t="shared" si="12"/>
        <v>#DIV/0!</v>
      </c>
      <c r="AA56" s="29"/>
      <c r="AD56" s="75"/>
      <c r="AE56" s="75"/>
      <c r="AF56" s="75"/>
    </row>
    <row r="57" spans="1:32" s="30" customFormat="1" ht="38.25">
      <c r="A57" s="23"/>
      <c r="B57" s="56"/>
      <c r="C57" s="57" t="s">
        <v>310</v>
      </c>
      <c r="D57" s="66" t="s">
        <v>311</v>
      </c>
      <c r="E57" s="24"/>
      <c r="F57" s="25"/>
      <c r="G57" s="26"/>
      <c r="H57" s="26"/>
      <c r="I57" s="85">
        <v>100</v>
      </c>
      <c r="J57" s="27">
        <v>24175000</v>
      </c>
      <c r="K57" s="82">
        <f t="shared" si="33"/>
        <v>0</v>
      </c>
      <c r="L57" s="27">
        <v>0</v>
      </c>
      <c r="M57" s="82">
        <f t="shared" si="2"/>
        <v>4.6535677352637021E-2</v>
      </c>
      <c r="N57" s="27">
        <v>1125000</v>
      </c>
      <c r="O57" s="82">
        <f t="shared" ref="O57" si="34">P57/J57</f>
        <v>0</v>
      </c>
      <c r="P57" s="27">
        <v>0</v>
      </c>
      <c r="Q57" s="19">
        <f>R57/J57</f>
        <v>0.85842812823164427</v>
      </c>
      <c r="R57" s="108">
        <f>21877500-P57-N57-L57</f>
        <v>20752500</v>
      </c>
      <c r="S57" s="89">
        <f t="shared" si="9"/>
        <v>0.90496380558428124</v>
      </c>
      <c r="T57" s="90">
        <f>R57+P57+N57+L57</f>
        <v>21877500</v>
      </c>
      <c r="U57" s="82">
        <f t="shared" si="10"/>
        <v>0.90496380558428113</v>
      </c>
      <c r="V57" s="110">
        <f>T57/J57*100</f>
        <v>90.496380558428129</v>
      </c>
      <c r="W57" s="24">
        <f t="shared" si="11"/>
        <v>0.90496380558428124</v>
      </c>
      <c r="X57" s="28">
        <f t="shared" si="11"/>
        <v>21877500</v>
      </c>
      <c r="Y57" s="24" t="e">
        <f t="shared" si="12"/>
        <v>#DIV/0!</v>
      </c>
      <c r="Z57" s="28" t="e">
        <f t="shared" si="12"/>
        <v>#DIV/0!</v>
      </c>
      <c r="AA57" s="29"/>
      <c r="AD57" s="75"/>
      <c r="AE57" s="75"/>
      <c r="AF57" s="75"/>
    </row>
    <row r="58" spans="1:32">
      <c r="A58" s="136" t="s">
        <v>37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99">
        <v>0.94</v>
      </c>
      <c r="V58" s="32">
        <f>AVERAGE(V14:V57)</f>
        <v>94.459341954851112</v>
      </c>
      <c r="W58" s="7"/>
      <c r="X58" s="7"/>
      <c r="Y58" s="32" t="e">
        <f>AVERAGE(#REF!)</f>
        <v>#REF!</v>
      </c>
      <c r="Z58" s="2"/>
      <c r="AA58" s="2"/>
    </row>
    <row r="59" spans="1:32" ht="42" customHeight="1">
      <c r="A59" s="136" t="s">
        <v>38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14" t="str">
        <f>IF(U58&gt;=91%,"SANGAT TINGGI",IF(U58&gt;=76%,"TINGGI",IF(U58&gt;=66%,"SEDANG",IF(U58&gt;=51%,"RENDAH",IF(U58&lt;=50%,"SANGAT RENDAH")))))</f>
        <v>SANGAT TINGGI</v>
      </c>
      <c r="V59" s="33" t="str">
        <f>IF(V58&gt;=91,"SANGAT TINGGI",IF(V58&gt;=76,"TINGGI",IF(V58&gt;=66,"SEDANG",IF(V58&gt;=51,"RENDAH",IF(V58&lt;=50,"SANGAT RENDAH")))))</f>
        <v>SANGAT TINGGI</v>
      </c>
      <c r="W59" s="7"/>
      <c r="X59" s="7"/>
      <c r="Y59" s="11"/>
      <c r="Z59" s="2"/>
      <c r="AA59" s="2"/>
    </row>
    <row r="60" spans="1:32">
      <c r="A60" s="135" t="s">
        <v>327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</row>
    <row r="61" spans="1:32">
      <c r="A61" s="135" t="s">
        <v>328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</row>
    <row r="62" spans="1:32">
      <c r="A62" s="135" t="s">
        <v>39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</row>
    <row r="63" spans="1:32">
      <c r="A63" s="135" t="s">
        <v>52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</row>
    <row r="64" spans="1:3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</row>
    <row r="65" spans="14:22">
      <c r="P65" s="104"/>
      <c r="T65" s="138" t="s">
        <v>332</v>
      </c>
      <c r="U65" s="139"/>
      <c r="V65" s="139"/>
    </row>
    <row r="66" spans="14:22">
      <c r="T66" s="138" t="s">
        <v>329</v>
      </c>
      <c r="U66" s="138"/>
      <c r="V66" s="138"/>
    </row>
    <row r="67" spans="14:22">
      <c r="T67" s="137"/>
      <c r="U67" s="137"/>
      <c r="V67" s="137"/>
    </row>
    <row r="68" spans="14:22">
      <c r="N68" s="104"/>
      <c r="U68" s="72"/>
    </row>
    <row r="69" spans="14:22">
      <c r="U69" s="14"/>
    </row>
    <row r="70" spans="14:22">
      <c r="U70" s="14"/>
    </row>
    <row r="71" spans="14:22">
      <c r="T71" s="138" t="s">
        <v>330</v>
      </c>
      <c r="U71" s="139"/>
      <c r="V71" s="139"/>
    </row>
    <row r="72" spans="14:22">
      <c r="T72" s="138" t="s">
        <v>333</v>
      </c>
      <c r="U72" s="138"/>
      <c r="V72" s="138"/>
    </row>
    <row r="73" spans="14:22">
      <c r="T73" s="138" t="s">
        <v>312</v>
      </c>
      <c r="U73" s="139"/>
      <c r="V73" s="139"/>
    </row>
  </sheetData>
  <mergeCells count="53">
    <mergeCell ref="T67:V67"/>
    <mergeCell ref="T66:V66"/>
    <mergeCell ref="T65:V65"/>
    <mergeCell ref="T71:V71"/>
    <mergeCell ref="T73:V73"/>
    <mergeCell ref="T72:V72"/>
    <mergeCell ref="A60:AA60"/>
    <mergeCell ref="A61:AA61"/>
    <mergeCell ref="A62:AA62"/>
    <mergeCell ref="A63:AA63"/>
    <mergeCell ref="U12:V12"/>
    <mergeCell ref="W12:X12"/>
    <mergeCell ref="Y12:Z12"/>
    <mergeCell ref="AA12:AA13"/>
    <mergeCell ref="A58:T58"/>
    <mergeCell ref="A59:T59"/>
    <mergeCell ref="I12:J12"/>
    <mergeCell ref="K12:L12"/>
    <mergeCell ref="M12:N12"/>
    <mergeCell ref="O12:P12"/>
    <mergeCell ref="Q12:R12"/>
    <mergeCell ref="S12:T12"/>
    <mergeCell ref="A12:A13"/>
    <mergeCell ref="B12:B13"/>
    <mergeCell ref="C12:C13"/>
    <mergeCell ref="D12:D13"/>
    <mergeCell ref="E12:F12"/>
    <mergeCell ref="G12:H12"/>
    <mergeCell ref="Y9:Z11"/>
    <mergeCell ref="AA9:AA11"/>
    <mergeCell ref="E11:F11"/>
    <mergeCell ref="G11:H11"/>
    <mergeCell ref="I11:J11"/>
    <mergeCell ref="K11:L11"/>
    <mergeCell ref="M11:N11"/>
    <mergeCell ref="O11:P11"/>
    <mergeCell ref="Q11:R11"/>
    <mergeCell ref="G9:H10"/>
    <mergeCell ref="I9:J10"/>
    <mergeCell ref="K9:R10"/>
    <mergeCell ref="S9:T11"/>
    <mergeCell ref="U9:V11"/>
    <mergeCell ref="W9:X11"/>
    <mergeCell ref="A1:AA1"/>
    <mergeCell ref="A2:AA2"/>
    <mergeCell ref="A3:AA3"/>
    <mergeCell ref="W8:Y8"/>
    <mergeCell ref="A4:AA4"/>
    <mergeCell ref="A9:A11"/>
    <mergeCell ref="B9:B11"/>
    <mergeCell ref="C9:C11"/>
    <mergeCell ref="D9:D11"/>
    <mergeCell ref="E9:F10"/>
  </mergeCells>
  <printOptions horizontalCentered="1"/>
  <pageMargins left="1.2204724409448819" right="0.43307086614173229" top="0.74803149606299213" bottom="0.74803149606299213" header="0.31496062992125984" footer="0.31496062992125984"/>
  <pageSetup paperSize="5"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1" sqref="B11"/>
    </sheetView>
  </sheetViews>
  <sheetFormatPr defaultRowHeight="15"/>
  <cols>
    <col min="1" max="1" width="14.7109375" customWidth="1"/>
    <col min="2" max="2" width="37.28515625" customWidth="1"/>
    <col min="3" max="3" width="37.42578125" customWidth="1"/>
    <col min="4" max="4" width="16.7109375" customWidth="1"/>
  </cols>
  <sheetData>
    <row r="1" spans="1:4" ht="26.25" thickBot="1">
      <c r="A1" s="34" t="s">
        <v>68</v>
      </c>
      <c r="B1" s="35" t="s">
        <v>30</v>
      </c>
      <c r="C1" s="35" t="s">
        <v>69</v>
      </c>
      <c r="D1" s="35" t="s">
        <v>70</v>
      </c>
    </row>
    <row r="2" spans="1:4" ht="15.75" thickBot="1">
      <c r="A2" s="140" t="s">
        <v>71</v>
      </c>
      <c r="B2" s="36" t="s">
        <v>72</v>
      </c>
      <c r="C2" s="37" t="s">
        <v>73</v>
      </c>
      <c r="D2" s="38">
        <v>0.77</v>
      </c>
    </row>
    <row r="3" spans="1:4" ht="15.75" thickBot="1">
      <c r="A3" s="141"/>
      <c r="B3" s="36" t="s">
        <v>74</v>
      </c>
      <c r="C3" s="37" t="s">
        <v>75</v>
      </c>
      <c r="D3" s="38">
        <v>75.260000000000005</v>
      </c>
    </row>
    <row r="4" spans="1:4" ht="15.75" thickBot="1">
      <c r="A4" s="140" t="s">
        <v>76</v>
      </c>
      <c r="B4" s="36" t="s">
        <v>77</v>
      </c>
      <c r="C4" s="37" t="s">
        <v>78</v>
      </c>
      <c r="D4" s="39">
        <v>2.1000000000000001E-2</v>
      </c>
    </row>
    <row r="5" spans="1:4" ht="15.75" thickBot="1">
      <c r="A5" s="141"/>
      <c r="B5" s="36" t="s">
        <v>79</v>
      </c>
      <c r="C5" s="37" t="s">
        <v>80</v>
      </c>
      <c r="D5" s="39">
        <v>4.1799999999999997E-2</v>
      </c>
    </row>
    <row r="6" spans="1:4" ht="15.75" thickBot="1">
      <c r="A6" s="140" t="s">
        <v>81</v>
      </c>
      <c r="B6" s="36" t="s">
        <v>82</v>
      </c>
      <c r="C6" s="37" t="s">
        <v>83</v>
      </c>
      <c r="D6" s="40">
        <v>2281414</v>
      </c>
    </row>
    <row r="7" spans="1:4" ht="23.25" thickBot="1">
      <c r="A7" s="142"/>
      <c r="B7" s="36" t="s">
        <v>84</v>
      </c>
      <c r="C7" s="37" t="s">
        <v>85</v>
      </c>
      <c r="D7" s="38">
        <v>105.73</v>
      </c>
    </row>
    <row r="8" spans="1:4" ht="23.25" thickBot="1">
      <c r="A8" s="141"/>
      <c r="B8" s="36" t="s">
        <v>86</v>
      </c>
      <c r="C8" s="37" t="s">
        <v>87</v>
      </c>
      <c r="D8" s="38">
        <v>66.97</v>
      </c>
    </row>
    <row r="9" spans="1:4" ht="15.75" thickBot="1">
      <c r="A9" s="140" t="s">
        <v>88</v>
      </c>
      <c r="B9" s="36" t="s">
        <v>89</v>
      </c>
      <c r="C9" s="37" t="s">
        <v>90</v>
      </c>
      <c r="D9" s="39">
        <v>0.5958</v>
      </c>
    </row>
    <row r="10" spans="1:4" ht="15.75" thickBot="1">
      <c r="A10" s="141"/>
      <c r="B10" s="36" t="s">
        <v>91</v>
      </c>
      <c r="C10" s="37" t="s">
        <v>92</v>
      </c>
      <c r="D10" s="38">
        <v>61.91</v>
      </c>
    </row>
    <row r="11" spans="1:4" ht="15.75" thickBot="1">
      <c r="A11" s="140" t="s">
        <v>93</v>
      </c>
      <c r="B11" s="36" t="s">
        <v>65</v>
      </c>
      <c r="C11" s="37" t="s">
        <v>94</v>
      </c>
      <c r="D11" s="38">
        <v>87.66</v>
      </c>
    </row>
    <row r="12" spans="1:4" ht="15.75" thickBot="1">
      <c r="A12" s="142"/>
      <c r="B12" s="140" t="s">
        <v>95</v>
      </c>
      <c r="C12" s="37" t="s">
        <v>96</v>
      </c>
      <c r="D12" s="38" t="s">
        <v>97</v>
      </c>
    </row>
    <row r="13" spans="1:4" ht="15.75" thickBot="1">
      <c r="A13" s="141"/>
      <c r="B13" s="141"/>
      <c r="C13" s="37" t="s">
        <v>98</v>
      </c>
      <c r="D13" s="38" t="s">
        <v>99</v>
      </c>
    </row>
  </sheetData>
  <mergeCells count="6">
    <mergeCell ref="B12:B13"/>
    <mergeCell ref="A2:A3"/>
    <mergeCell ref="A4:A5"/>
    <mergeCell ref="A6:A8"/>
    <mergeCell ref="A9:A10"/>
    <mergeCell ref="A11:A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49" workbookViewId="0">
      <selection activeCell="G5" sqref="G5"/>
    </sheetView>
  </sheetViews>
  <sheetFormatPr defaultColWidth="21.7109375" defaultRowHeight="15"/>
  <cols>
    <col min="1" max="1" width="3.7109375" bestFit="1" customWidth="1"/>
    <col min="2" max="2" width="14.140625" customWidth="1"/>
    <col min="3" max="3" width="20.7109375" bestFit="1" customWidth="1"/>
    <col min="4" max="4" width="32.28515625" customWidth="1"/>
    <col min="5" max="5" width="34.7109375" customWidth="1"/>
  </cols>
  <sheetData>
    <row r="1" spans="1:5" ht="34.9" customHeight="1" thickBot="1">
      <c r="A1" s="41" t="s">
        <v>29</v>
      </c>
      <c r="B1" s="42" t="s">
        <v>68</v>
      </c>
      <c r="C1" s="42" t="s">
        <v>100</v>
      </c>
      <c r="D1" s="42" t="s">
        <v>101</v>
      </c>
      <c r="E1" s="42" t="s">
        <v>102</v>
      </c>
    </row>
    <row r="2" spans="1:5" ht="43.5" thickBot="1">
      <c r="A2" s="43">
        <v>1</v>
      </c>
      <c r="B2" s="44" t="s">
        <v>71</v>
      </c>
      <c r="C2" s="45" t="s">
        <v>72</v>
      </c>
      <c r="D2" s="45"/>
      <c r="E2" s="46" t="s">
        <v>73</v>
      </c>
    </row>
    <row r="3" spans="1:5" ht="15.75" thickBot="1">
      <c r="A3" s="47"/>
      <c r="B3" s="44"/>
      <c r="C3" s="44"/>
      <c r="D3" s="45" t="s">
        <v>103</v>
      </c>
      <c r="E3" s="46" t="s">
        <v>104</v>
      </c>
    </row>
    <row r="4" spans="1:5" ht="15.75" thickBot="1">
      <c r="A4" s="47"/>
      <c r="B4" s="44"/>
      <c r="C4" s="44"/>
      <c r="D4" s="45"/>
      <c r="E4" s="46" t="s">
        <v>105</v>
      </c>
    </row>
    <row r="5" spans="1:5" ht="43.5" thickBot="1">
      <c r="A5" s="47"/>
      <c r="B5" s="44"/>
      <c r="C5" s="45" t="s">
        <v>74</v>
      </c>
      <c r="D5" s="45"/>
      <c r="E5" s="46" t="s">
        <v>75</v>
      </c>
    </row>
    <row r="6" spans="1:5" ht="43.5" thickBot="1">
      <c r="A6" s="47"/>
      <c r="B6" s="44"/>
      <c r="C6" s="45"/>
      <c r="D6" s="45" t="s">
        <v>106</v>
      </c>
      <c r="E6" s="46" t="s">
        <v>107</v>
      </c>
    </row>
    <row r="7" spans="1:5" ht="43.5" thickBot="1">
      <c r="A7" s="47"/>
      <c r="B7" s="44"/>
      <c r="C7" s="45"/>
      <c r="D7" s="45" t="s">
        <v>108</v>
      </c>
      <c r="E7" s="46" t="s">
        <v>109</v>
      </c>
    </row>
    <row r="8" spans="1:5" ht="29.25" thickBot="1">
      <c r="A8" s="47"/>
      <c r="B8" s="44"/>
      <c r="C8" s="45"/>
      <c r="D8" s="45"/>
      <c r="E8" s="46" t="s">
        <v>110</v>
      </c>
    </row>
    <row r="9" spans="1:5" ht="29.25" thickBot="1">
      <c r="A9" s="47"/>
      <c r="B9" s="44"/>
      <c r="C9" s="45"/>
      <c r="D9" s="45"/>
      <c r="E9" s="46" t="s">
        <v>111</v>
      </c>
    </row>
    <row r="10" spans="1:5" ht="15.75" thickBot="1">
      <c r="A10" s="47"/>
      <c r="B10" s="44"/>
      <c r="C10" s="45"/>
      <c r="D10" s="45"/>
      <c r="E10" s="46" t="s">
        <v>112</v>
      </c>
    </row>
    <row r="11" spans="1:5" ht="29.25" thickBot="1">
      <c r="A11" s="47"/>
      <c r="B11" s="44"/>
      <c r="C11" s="45"/>
      <c r="D11" s="45"/>
      <c r="E11" s="46" t="s">
        <v>113</v>
      </c>
    </row>
    <row r="12" spans="1:5" ht="43.5" thickBot="1">
      <c r="A12" s="47"/>
      <c r="B12" s="44"/>
      <c r="C12" s="45"/>
      <c r="D12" s="45" t="s">
        <v>114</v>
      </c>
      <c r="E12" s="46" t="s">
        <v>115</v>
      </c>
    </row>
    <row r="13" spans="1:5" ht="43.5" thickBot="1">
      <c r="A13" s="47"/>
      <c r="B13" s="44"/>
      <c r="C13" s="45"/>
      <c r="D13" s="45" t="s">
        <v>116</v>
      </c>
      <c r="E13" s="46" t="s">
        <v>117</v>
      </c>
    </row>
    <row r="14" spans="1:5" ht="29.25" thickBot="1">
      <c r="A14" s="43">
        <v>2</v>
      </c>
      <c r="B14" s="44" t="s">
        <v>76</v>
      </c>
      <c r="C14" s="45" t="s">
        <v>77</v>
      </c>
      <c r="D14" s="45"/>
      <c r="E14" s="46" t="s">
        <v>78</v>
      </c>
    </row>
    <row r="15" spans="1:5" ht="29.25" thickBot="1">
      <c r="A15" s="47"/>
      <c r="B15" s="44"/>
      <c r="C15" s="45"/>
      <c r="D15" s="45" t="s">
        <v>63</v>
      </c>
      <c r="E15" s="46" t="s">
        <v>118</v>
      </c>
    </row>
    <row r="16" spans="1:5" ht="29.25" thickBot="1">
      <c r="A16" s="47"/>
      <c r="B16" s="44"/>
      <c r="C16" s="45"/>
      <c r="D16" s="45" t="s">
        <v>64</v>
      </c>
      <c r="E16" s="46" t="s">
        <v>119</v>
      </c>
    </row>
    <row r="17" spans="1:5" ht="43.5" thickBot="1">
      <c r="A17" s="47"/>
      <c r="B17" s="44"/>
      <c r="C17" s="45"/>
      <c r="D17" s="45" t="s">
        <v>120</v>
      </c>
      <c r="E17" s="46" t="s">
        <v>121</v>
      </c>
    </row>
    <row r="18" spans="1:5" ht="29.25" thickBot="1">
      <c r="A18" s="47"/>
      <c r="B18" s="44"/>
      <c r="C18" s="45"/>
      <c r="D18" s="45" t="s">
        <v>122</v>
      </c>
      <c r="E18" s="46" t="s">
        <v>123</v>
      </c>
    </row>
    <row r="19" spans="1:5" ht="29.25" thickBot="1">
      <c r="A19" s="47"/>
      <c r="B19" s="44"/>
      <c r="C19" s="45" t="s">
        <v>79</v>
      </c>
      <c r="D19" s="45"/>
      <c r="E19" s="46" t="s">
        <v>80</v>
      </c>
    </row>
    <row r="20" spans="1:5" ht="43.5" thickBot="1">
      <c r="A20" s="47"/>
      <c r="B20" s="44"/>
      <c r="C20" s="45"/>
      <c r="D20" s="45" t="s">
        <v>124</v>
      </c>
      <c r="E20" s="46" t="s">
        <v>125</v>
      </c>
    </row>
    <row r="21" spans="1:5" ht="43.5" thickBot="1">
      <c r="A21" s="47"/>
      <c r="B21" s="44"/>
      <c r="C21" s="45"/>
      <c r="D21" s="45" t="s">
        <v>126</v>
      </c>
      <c r="E21" s="46" t="s">
        <v>127</v>
      </c>
    </row>
    <row r="22" spans="1:5" ht="43.5" thickBot="1">
      <c r="A22" s="43">
        <v>3</v>
      </c>
      <c r="B22" s="44" t="s">
        <v>81</v>
      </c>
      <c r="C22" s="45" t="s">
        <v>82</v>
      </c>
      <c r="D22" s="45"/>
      <c r="E22" s="46" t="s">
        <v>83</v>
      </c>
    </row>
    <row r="23" spans="1:5" ht="29.25" thickBot="1">
      <c r="A23" s="47"/>
      <c r="B23" s="44"/>
      <c r="C23" s="45"/>
      <c r="D23" s="45" t="s">
        <v>128</v>
      </c>
      <c r="E23" s="46" t="s">
        <v>129</v>
      </c>
    </row>
    <row r="24" spans="1:5" ht="29.25" thickBot="1">
      <c r="A24" s="47"/>
      <c r="B24" s="44"/>
      <c r="C24" s="45"/>
      <c r="D24" s="45" t="s">
        <v>130</v>
      </c>
      <c r="E24" s="46" t="s">
        <v>131</v>
      </c>
    </row>
    <row r="25" spans="1:5" ht="29.25" thickBot="1">
      <c r="A25" s="47"/>
      <c r="B25" s="44"/>
      <c r="C25" s="45"/>
      <c r="D25" s="45" t="s">
        <v>132</v>
      </c>
      <c r="E25" s="46" t="s">
        <v>133</v>
      </c>
    </row>
    <row r="26" spans="1:5" ht="43.5" thickBot="1">
      <c r="A26" s="47"/>
      <c r="B26" s="44"/>
      <c r="C26" s="45"/>
      <c r="D26" s="45" t="s">
        <v>134</v>
      </c>
      <c r="E26" s="46" t="s">
        <v>135</v>
      </c>
    </row>
    <row r="27" spans="1:5" ht="57.75" thickBot="1">
      <c r="A27" s="47"/>
      <c r="B27" s="44"/>
      <c r="C27" s="45"/>
      <c r="D27" s="45" t="s">
        <v>136</v>
      </c>
      <c r="E27" s="46" t="s">
        <v>137</v>
      </c>
    </row>
    <row r="28" spans="1:5" ht="29.25" thickBot="1">
      <c r="A28" s="47"/>
      <c r="B28" s="44"/>
      <c r="C28" s="45"/>
      <c r="D28" s="45" t="s">
        <v>138</v>
      </c>
      <c r="E28" s="46" t="s">
        <v>139</v>
      </c>
    </row>
    <row r="29" spans="1:5" ht="43.5" thickBot="1">
      <c r="A29" s="47"/>
      <c r="B29" s="44"/>
      <c r="C29" s="45"/>
      <c r="D29" s="45" t="s">
        <v>140</v>
      </c>
      <c r="E29" s="46" t="s">
        <v>141</v>
      </c>
    </row>
    <row r="30" spans="1:5" ht="29.25" thickBot="1">
      <c r="A30" s="47"/>
      <c r="B30" s="44"/>
      <c r="C30" s="45"/>
      <c r="D30" s="45" t="s">
        <v>142</v>
      </c>
      <c r="E30" s="46" t="s">
        <v>143</v>
      </c>
    </row>
    <row r="31" spans="1:5" ht="29.25" thickBot="1">
      <c r="A31" s="47"/>
      <c r="B31" s="44"/>
      <c r="C31" s="45"/>
      <c r="D31" s="45" t="s">
        <v>144</v>
      </c>
      <c r="E31" s="46" t="s">
        <v>145</v>
      </c>
    </row>
    <row r="32" spans="1:5" ht="15.75" thickBot="1">
      <c r="A32" s="47"/>
      <c r="B32" s="44"/>
      <c r="C32" s="45"/>
      <c r="D32" s="45" t="s">
        <v>146</v>
      </c>
      <c r="E32" s="46" t="s">
        <v>147</v>
      </c>
    </row>
    <row r="33" spans="1:5" ht="29.25" thickBot="1">
      <c r="A33" s="47"/>
      <c r="B33" s="44"/>
      <c r="C33" s="45"/>
      <c r="D33" s="45" t="s">
        <v>148</v>
      </c>
      <c r="E33" s="46" t="s">
        <v>149</v>
      </c>
    </row>
    <row r="34" spans="1:5" ht="29.25" thickBot="1">
      <c r="A34" s="47"/>
      <c r="B34" s="44"/>
      <c r="C34" s="45"/>
      <c r="D34" s="45" t="s">
        <v>150</v>
      </c>
      <c r="E34" s="46" t="s">
        <v>151</v>
      </c>
    </row>
    <row r="35" spans="1:5" ht="29.25" thickBot="1">
      <c r="A35" s="47"/>
      <c r="B35" s="44"/>
      <c r="C35" s="45" t="s">
        <v>84</v>
      </c>
      <c r="D35" s="45"/>
      <c r="E35" s="46" t="s">
        <v>85</v>
      </c>
    </row>
    <row r="36" spans="1:5" ht="43.5" thickBot="1">
      <c r="A36" s="47"/>
      <c r="B36" s="44"/>
      <c r="C36" s="45"/>
      <c r="D36" s="45" t="s">
        <v>152</v>
      </c>
      <c r="E36" s="46" t="s">
        <v>153</v>
      </c>
    </row>
    <row r="37" spans="1:5" ht="72" thickBot="1">
      <c r="A37" s="47"/>
      <c r="B37" s="44"/>
      <c r="C37" s="45"/>
      <c r="D37" s="45" t="s">
        <v>154</v>
      </c>
      <c r="E37" s="46" t="s">
        <v>155</v>
      </c>
    </row>
    <row r="38" spans="1:5" ht="43.5" thickBot="1">
      <c r="A38" s="47"/>
      <c r="B38" s="44"/>
      <c r="C38" s="45" t="s">
        <v>86</v>
      </c>
      <c r="D38" s="45"/>
      <c r="E38" s="46" t="s">
        <v>87</v>
      </c>
    </row>
    <row r="39" spans="1:5" ht="43.5" thickBot="1">
      <c r="A39" s="47"/>
      <c r="B39" s="44"/>
      <c r="C39" s="45"/>
      <c r="D39" s="45" t="s">
        <v>156</v>
      </c>
      <c r="E39" s="46" t="s">
        <v>157</v>
      </c>
    </row>
    <row r="40" spans="1:5" ht="43.5" thickBot="1">
      <c r="A40" s="47"/>
      <c r="B40" s="44"/>
      <c r="C40" s="45"/>
      <c r="D40" s="45" t="s">
        <v>158</v>
      </c>
      <c r="E40" s="46" t="s">
        <v>159</v>
      </c>
    </row>
    <row r="41" spans="1:5" ht="43.5" thickBot="1">
      <c r="A41" s="47"/>
      <c r="B41" s="44"/>
      <c r="C41" s="45"/>
      <c r="D41" s="45" t="s">
        <v>160</v>
      </c>
      <c r="E41" s="46" t="s">
        <v>161</v>
      </c>
    </row>
    <row r="42" spans="1:5" ht="29.25" thickBot="1">
      <c r="A42" s="47"/>
      <c r="B42" s="44"/>
      <c r="C42" s="45"/>
      <c r="D42" s="45" t="s">
        <v>162</v>
      </c>
      <c r="E42" s="46" t="s">
        <v>163</v>
      </c>
    </row>
    <row r="43" spans="1:5" ht="29.25" thickBot="1">
      <c r="A43" s="47"/>
      <c r="B43" s="44"/>
      <c r="C43" s="45"/>
      <c r="D43" s="45" t="s">
        <v>164</v>
      </c>
      <c r="E43" s="46" t="s">
        <v>165</v>
      </c>
    </row>
    <row r="44" spans="1:5" ht="43.5" thickBot="1">
      <c r="A44" s="47"/>
      <c r="B44" s="44"/>
      <c r="C44" s="45"/>
      <c r="D44" s="45" t="s">
        <v>166</v>
      </c>
      <c r="E44" s="46" t="s">
        <v>167</v>
      </c>
    </row>
    <row r="45" spans="1:5" ht="29.25" thickBot="1">
      <c r="A45" s="43">
        <v>4</v>
      </c>
      <c r="B45" s="44" t="s">
        <v>88</v>
      </c>
      <c r="C45" s="45" t="s">
        <v>89</v>
      </c>
      <c r="D45" s="45"/>
      <c r="E45" s="46" t="s">
        <v>90</v>
      </c>
    </row>
    <row r="46" spans="1:5" ht="29.25" thickBot="1">
      <c r="A46" s="47"/>
      <c r="B46" s="44"/>
      <c r="C46" s="45"/>
      <c r="D46" s="45" t="s">
        <v>168</v>
      </c>
      <c r="E46" s="46" t="s">
        <v>66</v>
      </c>
    </row>
    <row r="47" spans="1:5" ht="43.5" thickBot="1">
      <c r="A47" s="47"/>
      <c r="B47" s="44"/>
      <c r="C47" s="45"/>
      <c r="D47" s="45" t="s">
        <v>169</v>
      </c>
      <c r="E47" s="46" t="s">
        <v>170</v>
      </c>
    </row>
    <row r="48" spans="1:5" ht="29.25" thickBot="1">
      <c r="A48" s="47"/>
      <c r="B48" s="44"/>
      <c r="C48" s="45"/>
      <c r="D48" s="45" t="s">
        <v>171</v>
      </c>
      <c r="E48" s="46" t="s">
        <v>172</v>
      </c>
    </row>
    <row r="49" spans="1:5" ht="43.5" thickBot="1">
      <c r="A49" s="47"/>
      <c r="B49" s="44"/>
      <c r="C49" s="45"/>
      <c r="D49" s="45" t="s">
        <v>173</v>
      </c>
      <c r="E49" s="46" t="s">
        <v>174</v>
      </c>
    </row>
    <row r="50" spans="1:5" ht="15.75" thickBot="1">
      <c r="A50" s="47"/>
      <c r="B50" s="44"/>
      <c r="C50" s="45"/>
      <c r="D50" s="45" t="s">
        <v>175</v>
      </c>
      <c r="E50" s="46" t="s">
        <v>176</v>
      </c>
    </row>
    <row r="51" spans="1:5" ht="43.5" thickBot="1">
      <c r="A51" s="47"/>
      <c r="B51" s="44"/>
      <c r="C51" s="45"/>
      <c r="D51" s="45" t="s">
        <v>177</v>
      </c>
      <c r="E51" s="46" t="s">
        <v>178</v>
      </c>
    </row>
    <row r="52" spans="1:5" ht="43.5" thickBot="1">
      <c r="A52" s="47"/>
      <c r="B52" s="44"/>
      <c r="C52" s="45"/>
      <c r="D52" s="45" t="s">
        <v>179</v>
      </c>
      <c r="E52" s="46" t="s">
        <v>180</v>
      </c>
    </row>
    <row r="53" spans="1:5" ht="43.5" thickBot="1">
      <c r="A53" s="47"/>
      <c r="B53" s="44"/>
      <c r="C53" s="45" t="s">
        <v>91</v>
      </c>
      <c r="D53" s="45"/>
      <c r="E53" s="46" t="s">
        <v>92</v>
      </c>
    </row>
    <row r="54" spans="1:5" ht="29.25" thickBot="1">
      <c r="A54" s="47"/>
      <c r="B54" s="44"/>
      <c r="C54" s="45"/>
      <c r="D54" s="45" t="s">
        <v>181</v>
      </c>
      <c r="E54" s="46" t="s">
        <v>182</v>
      </c>
    </row>
    <row r="55" spans="1:5" ht="43.5" thickBot="1">
      <c r="A55" s="47"/>
      <c r="B55" s="44"/>
      <c r="C55" s="45"/>
      <c r="D55" s="45" t="s">
        <v>183</v>
      </c>
      <c r="E55" s="46" t="s">
        <v>184</v>
      </c>
    </row>
    <row r="56" spans="1:5" ht="29.25" thickBot="1">
      <c r="A56" s="47"/>
      <c r="B56" s="44"/>
      <c r="C56" s="45"/>
      <c r="D56" s="45"/>
      <c r="E56" s="46" t="s">
        <v>185</v>
      </c>
    </row>
    <row r="57" spans="1:5" ht="29.25" thickBot="1">
      <c r="A57" s="47"/>
      <c r="B57" s="44"/>
      <c r="C57" s="45"/>
      <c r="D57" s="45"/>
      <c r="E57" s="46" t="s">
        <v>186</v>
      </c>
    </row>
    <row r="58" spans="1:5" ht="43.5" thickBot="1">
      <c r="A58" s="47"/>
      <c r="B58" s="44"/>
      <c r="C58" s="45"/>
      <c r="D58" s="45" t="s">
        <v>187</v>
      </c>
      <c r="E58" s="46" t="s">
        <v>188</v>
      </c>
    </row>
    <row r="59" spans="1:5" ht="15.75" thickBot="1">
      <c r="A59" s="47"/>
      <c r="B59" s="44"/>
      <c r="C59" s="45"/>
      <c r="D59" s="45"/>
      <c r="E59" s="46" t="s">
        <v>189</v>
      </c>
    </row>
    <row r="60" spans="1:5" ht="57.75" thickBot="1">
      <c r="A60" s="47"/>
      <c r="B60" s="44"/>
      <c r="C60" s="45"/>
      <c r="D60" s="45" t="s">
        <v>190</v>
      </c>
      <c r="E60" s="46" t="s">
        <v>191</v>
      </c>
    </row>
    <row r="61" spans="1:5" ht="86.25" thickBot="1">
      <c r="A61" s="47"/>
      <c r="B61" s="44"/>
      <c r="C61" s="45"/>
      <c r="D61" s="45" t="s">
        <v>192</v>
      </c>
      <c r="E61" s="46" t="s">
        <v>193</v>
      </c>
    </row>
    <row r="62" spans="1:5" ht="43.5" thickBot="1">
      <c r="A62" s="47"/>
      <c r="B62" s="44"/>
      <c r="C62" s="45"/>
      <c r="D62" s="45" t="s">
        <v>194</v>
      </c>
      <c r="E62" s="46" t="s">
        <v>195</v>
      </c>
    </row>
    <row r="63" spans="1:5" ht="29.25" thickBot="1">
      <c r="A63" s="47"/>
      <c r="B63" s="44"/>
      <c r="C63" s="45"/>
      <c r="D63" s="45" t="s">
        <v>196</v>
      </c>
      <c r="E63" s="46" t="s">
        <v>197</v>
      </c>
    </row>
    <row r="64" spans="1:5" ht="43.5" thickBot="1">
      <c r="A64" s="47"/>
      <c r="B64" s="44"/>
      <c r="C64" s="45"/>
      <c r="D64" s="45" t="s">
        <v>198</v>
      </c>
      <c r="E64" s="46" t="s">
        <v>199</v>
      </c>
    </row>
    <row r="65" spans="1:5" ht="43.5" thickBot="1">
      <c r="A65" s="43">
        <v>5</v>
      </c>
      <c r="B65" s="44" t="s">
        <v>93</v>
      </c>
      <c r="C65" s="45" t="s">
        <v>65</v>
      </c>
      <c r="D65" s="45"/>
      <c r="E65" s="46" t="s">
        <v>94</v>
      </c>
    </row>
    <row r="66" spans="1:5" ht="43.5" thickBot="1">
      <c r="A66" s="47"/>
      <c r="B66" s="44"/>
      <c r="C66" s="45"/>
      <c r="D66" s="45" t="s">
        <v>200</v>
      </c>
      <c r="E66" s="46" t="s">
        <v>201</v>
      </c>
    </row>
    <row r="67" spans="1:5" ht="43.5" thickBot="1">
      <c r="A67" s="47"/>
      <c r="B67" s="44"/>
      <c r="C67" s="45"/>
      <c r="D67" s="45"/>
      <c r="E67" s="46" t="s">
        <v>202</v>
      </c>
    </row>
    <row r="68" spans="1:5" ht="43.5" thickBot="1">
      <c r="A68" s="47"/>
      <c r="B68" s="44"/>
      <c r="C68" s="45"/>
      <c r="D68" s="45"/>
      <c r="E68" s="46" t="s">
        <v>203</v>
      </c>
    </row>
    <row r="69" spans="1:5" ht="43.5" thickBot="1">
      <c r="A69" s="47"/>
      <c r="B69" s="44"/>
      <c r="C69" s="45"/>
      <c r="D69" s="45"/>
      <c r="E69" s="46" t="s">
        <v>204</v>
      </c>
    </row>
    <row r="70" spans="1:5" ht="15.75" thickBot="1">
      <c r="A70" s="47"/>
      <c r="B70" s="44"/>
      <c r="C70" s="45"/>
      <c r="D70" s="45" t="s">
        <v>205</v>
      </c>
      <c r="E70" s="46" t="s">
        <v>206</v>
      </c>
    </row>
    <row r="71" spans="1:5" ht="29.25" thickBot="1">
      <c r="A71" s="47"/>
      <c r="B71" s="44"/>
      <c r="C71" s="45"/>
      <c r="D71" s="45" t="s">
        <v>207</v>
      </c>
      <c r="E71" s="46" t="s">
        <v>208</v>
      </c>
    </row>
    <row r="72" spans="1:5" ht="57.75" thickBot="1">
      <c r="A72" s="47"/>
      <c r="B72" s="44"/>
      <c r="C72" s="45" t="s">
        <v>95</v>
      </c>
      <c r="D72" s="45"/>
      <c r="E72" s="46" t="s">
        <v>96</v>
      </c>
    </row>
    <row r="73" spans="1:5" ht="15.75" thickBot="1">
      <c r="A73" s="47"/>
      <c r="B73" s="44"/>
      <c r="C73" s="45"/>
      <c r="D73" s="45"/>
      <c r="E73" s="46" t="s">
        <v>98</v>
      </c>
    </row>
    <row r="74" spans="1:5" ht="29.25" thickBot="1">
      <c r="A74" s="47"/>
      <c r="B74" s="44"/>
      <c r="C74" s="45"/>
      <c r="D74" s="45" t="s">
        <v>209</v>
      </c>
      <c r="E74" s="46" t="s">
        <v>210</v>
      </c>
    </row>
    <row r="75" spans="1:5" ht="15.75" thickBot="1">
      <c r="A75" s="47"/>
      <c r="B75" s="44"/>
      <c r="C75" s="45"/>
      <c r="D75" s="45"/>
      <c r="E75" s="46" t="s">
        <v>211</v>
      </c>
    </row>
    <row r="76" spans="1:5" ht="29.25" thickBot="1">
      <c r="A76" s="47"/>
      <c r="B76" s="44"/>
      <c r="C76" s="45"/>
      <c r="D76" s="45" t="s">
        <v>212</v>
      </c>
      <c r="E76" s="46" t="s">
        <v>213</v>
      </c>
    </row>
    <row r="77" spans="1:5" ht="57.75" thickBot="1">
      <c r="A77" s="47"/>
      <c r="B77" s="44"/>
      <c r="C77" s="45"/>
      <c r="D77" s="45" t="s">
        <v>214</v>
      </c>
      <c r="E77" s="46" t="s">
        <v>215</v>
      </c>
    </row>
    <row r="78" spans="1:5" ht="29.25" thickBot="1">
      <c r="A78" s="47"/>
      <c r="B78" s="44"/>
      <c r="C78" s="45"/>
      <c r="D78" s="45"/>
      <c r="E78" s="46" t="s">
        <v>216</v>
      </c>
    </row>
    <row r="79" spans="1:5" ht="57.75" thickBot="1">
      <c r="A79" s="47"/>
      <c r="B79" s="44"/>
      <c r="C79" s="45"/>
      <c r="D79" s="45" t="s">
        <v>217</v>
      </c>
      <c r="E79" s="46" t="s">
        <v>218</v>
      </c>
    </row>
    <row r="80" spans="1:5" ht="57.75" thickBot="1">
      <c r="A80" s="47"/>
      <c r="B80" s="44"/>
      <c r="C80" s="45"/>
      <c r="D80" s="45"/>
      <c r="E80" s="46" t="s">
        <v>219</v>
      </c>
    </row>
    <row r="81" spans="1:5" ht="15.75" thickBot="1">
      <c r="A81" s="47"/>
      <c r="B81" s="44"/>
      <c r="C81" s="45"/>
      <c r="D81" s="45" t="s">
        <v>220</v>
      </c>
      <c r="E81" s="46" t="s">
        <v>221</v>
      </c>
    </row>
    <row r="82" spans="1:5" ht="29.25" thickBot="1">
      <c r="A82" s="47"/>
      <c r="B82" s="44"/>
      <c r="C82" s="45"/>
      <c r="D82" s="45" t="s">
        <v>222</v>
      </c>
      <c r="E82" s="46" t="s">
        <v>223</v>
      </c>
    </row>
    <row r="83" spans="1:5" ht="29.25" thickBot="1">
      <c r="A83" s="47"/>
      <c r="B83" s="44"/>
      <c r="C83" s="45"/>
      <c r="D83" s="45" t="s">
        <v>224</v>
      </c>
      <c r="E83" s="46" t="s">
        <v>225</v>
      </c>
    </row>
    <row r="84" spans="1:5" ht="29.25" thickBot="1">
      <c r="A84" s="47"/>
      <c r="B84" s="44"/>
      <c r="C84" s="45"/>
      <c r="D84" s="45" t="s">
        <v>226</v>
      </c>
      <c r="E84" s="46" t="s">
        <v>227</v>
      </c>
    </row>
    <row r="85" spans="1:5" ht="29.25" thickBot="1">
      <c r="A85" s="47"/>
      <c r="B85" s="44"/>
      <c r="C85" s="45"/>
      <c r="D85" s="45" t="s">
        <v>228</v>
      </c>
      <c r="E85" s="46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29"/>
  <sheetViews>
    <sheetView zoomScale="70" zoomScaleNormal="70" workbookViewId="0">
      <selection activeCell="L19" sqref="L19"/>
    </sheetView>
  </sheetViews>
  <sheetFormatPr defaultRowHeight="15"/>
  <cols>
    <col min="1" max="4" width="5.7109375" customWidth="1"/>
    <col min="5" max="5" width="19.5703125" customWidth="1"/>
    <col min="6" max="17" width="9.28515625" customWidth="1"/>
    <col min="20" max="20" width="15" customWidth="1"/>
    <col min="21" max="22" width="11.85546875" customWidth="1"/>
  </cols>
  <sheetData>
    <row r="1" spans="1:30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1:30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4" spans="1:30">
      <c r="A4" t="s">
        <v>1</v>
      </c>
      <c r="E4" t="s">
        <v>47</v>
      </c>
    </row>
    <row r="5" spans="1:30">
      <c r="A5" t="s">
        <v>2</v>
      </c>
      <c r="E5" t="s">
        <v>47</v>
      </c>
    </row>
    <row r="6" spans="1:30">
      <c r="A6" t="s">
        <v>3</v>
      </c>
      <c r="E6" t="s">
        <v>47</v>
      </c>
    </row>
    <row r="7" spans="1:30">
      <c r="A7" t="s">
        <v>4</v>
      </c>
      <c r="E7" t="s">
        <v>47</v>
      </c>
    </row>
    <row r="8" spans="1:30">
      <c r="U8" s="123" t="s">
        <v>48</v>
      </c>
      <c r="V8" s="123"/>
    </row>
    <row r="9" spans="1:30" ht="47.25" customHeight="1">
      <c r="A9" s="145" t="s">
        <v>5</v>
      </c>
      <c r="B9" s="146"/>
      <c r="C9" s="146"/>
      <c r="D9" s="147"/>
      <c r="E9" s="154" t="s">
        <v>6</v>
      </c>
      <c r="F9" s="144" t="s">
        <v>7</v>
      </c>
      <c r="G9" s="144"/>
      <c r="H9" s="144" t="s">
        <v>44</v>
      </c>
      <c r="I9" s="144"/>
      <c r="J9" s="144"/>
      <c r="K9" s="144"/>
      <c r="L9" s="144"/>
      <c r="M9" s="144"/>
      <c r="N9" s="144" t="s">
        <v>46</v>
      </c>
      <c r="O9" s="144"/>
      <c r="P9" s="144"/>
      <c r="Q9" s="144"/>
      <c r="R9" s="144" t="s">
        <v>11</v>
      </c>
      <c r="S9" s="144"/>
      <c r="T9" s="154" t="s">
        <v>45</v>
      </c>
      <c r="U9" s="154" t="s">
        <v>14</v>
      </c>
      <c r="V9" s="154" t="s">
        <v>15</v>
      </c>
      <c r="W9" s="1"/>
      <c r="X9" s="1"/>
      <c r="Y9" s="1"/>
      <c r="Z9" s="1"/>
      <c r="AA9" s="1"/>
      <c r="AB9" s="1"/>
      <c r="AC9" s="1"/>
      <c r="AD9" s="1"/>
    </row>
    <row r="10" spans="1:30" ht="32.25" customHeight="1">
      <c r="A10" s="148"/>
      <c r="B10" s="149"/>
      <c r="C10" s="149"/>
      <c r="D10" s="150"/>
      <c r="E10" s="155"/>
      <c r="F10" s="144"/>
      <c r="G10" s="144"/>
      <c r="H10" s="157" t="s">
        <v>8</v>
      </c>
      <c r="I10" s="158"/>
      <c r="J10" s="157" t="s">
        <v>9</v>
      </c>
      <c r="K10" s="158"/>
      <c r="L10" s="157" t="s">
        <v>10</v>
      </c>
      <c r="M10" s="158"/>
      <c r="N10" s="157" t="s">
        <v>9</v>
      </c>
      <c r="O10" s="158"/>
      <c r="P10" s="157" t="s">
        <v>10</v>
      </c>
      <c r="Q10" s="158"/>
      <c r="R10" s="154" t="s">
        <v>12</v>
      </c>
      <c r="S10" s="154" t="s">
        <v>13</v>
      </c>
      <c r="T10" s="155"/>
      <c r="U10" s="155"/>
      <c r="V10" s="155"/>
      <c r="W10" s="1"/>
      <c r="X10" s="1"/>
      <c r="Y10" s="1"/>
      <c r="Z10" s="1"/>
      <c r="AA10" s="1"/>
      <c r="AB10" s="1"/>
      <c r="AC10" s="1"/>
      <c r="AD10" s="1"/>
    </row>
    <row r="11" spans="1:30">
      <c r="A11" s="151"/>
      <c r="B11" s="152"/>
      <c r="C11" s="152"/>
      <c r="D11" s="153"/>
      <c r="E11" s="156"/>
      <c r="F11" s="143" t="s">
        <v>18</v>
      </c>
      <c r="G11" s="144"/>
      <c r="H11" s="159" t="s">
        <v>19</v>
      </c>
      <c r="I11" s="160"/>
      <c r="J11" s="159" t="s">
        <v>20</v>
      </c>
      <c r="K11" s="160"/>
      <c r="L11" s="159" t="s">
        <v>21</v>
      </c>
      <c r="M11" s="160"/>
      <c r="N11" s="159" t="s">
        <v>22</v>
      </c>
      <c r="O11" s="160"/>
      <c r="P11" s="159" t="s">
        <v>23</v>
      </c>
      <c r="Q11" s="160"/>
      <c r="R11" s="156"/>
      <c r="S11" s="156"/>
      <c r="T11" s="156"/>
      <c r="U11" s="156"/>
      <c r="V11" s="156"/>
      <c r="W11" s="1"/>
      <c r="X11" s="1"/>
      <c r="Y11" s="1"/>
      <c r="Z11" s="1"/>
      <c r="AA11" s="1"/>
      <c r="AB11" s="1"/>
      <c r="AC11" s="1"/>
      <c r="AD11" s="1"/>
    </row>
    <row r="12" spans="1:30">
      <c r="A12" s="143" t="s">
        <v>16</v>
      </c>
      <c r="B12" s="144"/>
      <c r="C12" s="144"/>
      <c r="D12" s="144"/>
      <c r="E12" s="13" t="s">
        <v>17</v>
      </c>
      <c r="F12" s="13" t="s">
        <v>42</v>
      </c>
      <c r="G12" s="12" t="s">
        <v>43</v>
      </c>
      <c r="H12" s="13" t="s">
        <v>42</v>
      </c>
      <c r="I12" s="12" t="s">
        <v>43</v>
      </c>
      <c r="J12" s="13" t="s">
        <v>42</v>
      </c>
      <c r="K12" s="12" t="s">
        <v>43</v>
      </c>
      <c r="L12" s="13" t="s">
        <v>42</v>
      </c>
      <c r="M12" s="12" t="s">
        <v>43</v>
      </c>
      <c r="N12" s="13" t="s">
        <v>42</v>
      </c>
      <c r="O12" s="12" t="s">
        <v>43</v>
      </c>
      <c r="P12" s="13" t="s">
        <v>42</v>
      </c>
      <c r="Q12" s="12" t="s">
        <v>43</v>
      </c>
      <c r="R12" s="13" t="s">
        <v>24</v>
      </c>
      <c r="S12" s="13" t="s">
        <v>25</v>
      </c>
      <c r="T12" s="13" t="s">
        <v>26</v>
      </c>
      <c r="U12" s="13" t="s">
        <v>27</v>
      </c>
      <c r="V12" s="13" t="s">
        <v>28</v>
      </c>
      <c r="W12" s="1"/>
      <c r="X12" s="1"/>
      <c r="Y12" s="1"/>
      <c r="Z12" s="1"/>
      <c r="AA12" s="1"/>
      <c r="AB12" s="1"/>
      <c r="AC12" s="1"/>
      <c r="AD12" s="1"/>
    </row>
    <row r="13" spans="1:30">
      <c r="A13" s="3"/>
      <c r="B13" s="3"/>
      <c r="C13" s="3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30">
      <c r="A14" s="4"/>
      <c r="B14" s="4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30">
      <c r="A15" s="5"/>
      <c r="B15" s="6"/>
      <c r="C15" s="6"/>
      <c r="D15" s="6"/>
      <c r="E15" s="7"/>
      <c r="F15" s="8"/>
      <c r="G15" s="8"/>
      <c r="H15" s="2"/>
      <c r="I15" s="2"/>
      <c r="J15" s="2"/>
      <c r="K15" s="2"/>
      <c r="L15" s="2"/>
      <c r="M15" s="2"/>
      <c r="N15" s="2"/>
      <c r="O15" s="2"/>
      <c r="P15" s="7"/>
      <c r="Q15" s="7"/>
      <c r="R15" s="5"/>
      <c r="S15" s="5"/>
      <c r="T15" s="7"/>
      <c r="U15" s="7"/>
      <c r="V15" s="7"/>
    </row>
    <row r="16" spans="1:30">
      <c r="A16" s="5"/>
      <c r="B16" s="6"/>
      <c r="C16" s="6"/>
      <c r="D16" s="6"/>
      <c r="E16" s="7"/>
      <c r="F16" s="8"/>
      <c r="G16" s="8"/>
      <c r="H16" s="2"/>
      <c r="I16" s="2"/>
      <c r="J16" s="2"/>
      <c r="K16" s="2"/>
      <c r="L16" s="2"/>
      <c r="M16" s="2"/>
      <c r="N16" s="2"/>
      <c r="O16" s="2"/>
      <c r="P16" s="7"/>
      <c r="Q16" s="7"/>
      <c r="R16" s="5"/>
      <c r="S16" s="5"/>
      <c r="T16" s="7"/>
      <c r="U16" s="7"/>
      <c r="V16" s="7"/>
    </row>
    <row r="17" spans="1:22">
      <c r="A17" s="5"/>
      <c r="B17" s="6"/>
      <c r="C17" s="6"/>
      <c r="D17" s="6"/>
      <c r="E17" s="7"/>
      <c r="F17" s="8"/>
      <c r="G17" s="8"/>
      <c r="H17" s="2"/>
      <c r="I17" s="2"/>
      <c r="J17" s="2"/>
      <c r="K17" s="2"/>
      <c r="L17" s="2"/>
      <c r="M17" s="2"/>
      <c r="N17" s="2"/>
      <c r="O17" s="2"/>
      <c r="P17" s="7"/>
      <c r="Q17" s="7"/>
      <c r="R17" s="5"/>
      <c r="S17" s="5"/>
      <c r="T17" s="7"/>
      <c r="U17" s="7"/>
      <c r="V17" s="7"/>
    </row>
    <row r="18" spans="1:22">
      <c r="A18" s="5"/>
      <c r="B18" s="6"/>
      <c r="C18" s="6"/>
      <c r="D18" s="6"/>
      <c r="E18" s="7"/>
      <c r="F18" s="8"/>
      <c r="G18" s="8"/>
      <c r="H18" s="2"/>
      <c r="I18" s="2"/>
      <c r="J18" s="2"/>
      <c r="K18" s="2"/>
      <c r="L18" s="2"/>
      <c r="M18" s="2"/>
      <c r="N18" s="2"/>
      <c r="O18" s="2"/>
      <c r="P18" s="7"/>
      <c r="Q18" s="7"/>
      <c r="R18" s="5"/>
      <c r="S18" s="5"/>
      <c r="T18" s="7"/>
      <c r="U18" s="7"/>
      <c r="V18" s="7"/>
    </row>
    <row r="19" spans="1:22">
      <c r="A19" s="5"/>
      <c r="B19" s="6"/>
      <c r="C19" s="6"/>
      <c r="D19" s="6"/>
      <c r="E19" s="7"/>
      <c r="F19" s="8"/>
      <c r="G19" s="8"/>
      <c r="H19" s="2"/>
      <c r="I19" s="2"/>
      <c r="J19" s="2"/>
      <c r="K19" s="2"/>
      <c r="L19" s="2"/>
      <c r="M19" s="2"/>
      <c r="N19" s="2"/>
      <c r="O19" s="2"/>
      <c r="P19" s="7"/>
      <c r="Q19" s="7"/>
      <c r="R19" s="5"/>
      <c r="S19" s="5"/>
      <c r="T19" s="7"/>
      <c r="U19" s="7"/>
      <c r="V19" s="7"/>
    </row>
    <row r="20" spans="1:22">
      <c r="A20" s="5"/>
      <c r="B20" s="6"/>
      <c r="C20" s="6"/>
      <c r="D20" s="6"/>
      <c r="E20" s="7"/>
      <c r="F20" s="8"/>
      <c r="G20" s="8"/>
      <c r="H20" s="2"/>
      <c r="I20" s="2"/>
      <c r="J20" s="2"/>
      <c r="K20" s="2"/>
      <c r="L20" s="2"/>
      <c r="M20" s="2"/>
      <c r="N20" s="2"/>
      <c r="O20" s="2"/>
      <c r="P20" s="7"/>
      <c r="Q20" s="7"/>
      <c r="R20" s="5"/>
      <c r="S20" s="5"/>
      <c r="T20" s="7"/>
      <c r="U20" s="7"/>
      <c r="V20" s="7"/>
    </row>
    <row r="21" spans="1:22">
      <c r="A21" s="5"/>
      <c r="B21" s="6"/>
      <c r="C21" s="6"/>
      <c r="D21" s="6"/>
      <c r="E21" s="7"/>
      <c r="F21" s="8"/>
      <c r="G21" s="8"/>
      <c r="H21" s="2"/>
      <c r="I21" s="2"/>
      <c r="J21" s="2"/>
      <c r="K21" s="2"/>
      <c r="L21" s="2"/>
      <c r="M21" s="2"/>
      <c r="N21" s="2"/>
      <c r="O21" s="2"/>
      <c r="P21" s="7"/>
      <c r="Q21" s="7"/>
      <c r="R21" s="5"/>
      <c r="S21" s="5"/>
      <c r="T21" s="7"/>
      <c r="U21" s="7"/>
      <c r="V21" s="7"/>
    </row>
    <row r="22" spans="1:22">
      <c r="A22" s="5"/>
      <c r="B22" s="6"/>
      <c r="C22" s="6"/>
      <c r="D22" s="6"/>
      <c r="E22" s="7"/>
      <c r="F22" s="8"/>
      <c r="G22" s="8"/>
      <c r="H22" s="2"/>
      <c r="I22" s="2"/>
      <c r="J22" s="2"/>
      <c r="K22" s="2"/>
      <c r="L22" s="2"/>
      <c r="M22" s="2"/>
      <c r="N22" s="2"/>
      <c r="O22" s="2"/>
      <c r="P22" s="7"/>
      <c r="Q22" s="7"/>
      <c r="R22" s="5"/>
      <c r="S22" s="5"/>
      <c r="T22" s="7"/>
      <c r="U22" s="7"/>
      <c r="V22" s="7"/>
    </row>
    <row r="23" spans="1:22">
      <c r="A23" s="5"/>
      <c r="B23" s="6"/>
      <c r="C23" s="6"/>
      <c r="D23" s="6"/>
      <c r="E23" s="7"/>
      <c r="F23" s="8"/>
      <c r="G23" s="8"/>
      <c r="H23" s="2"/>
      <c r="I23" s="2"/>
      <c r="J23" s="2"/>
      <c r="K23" s="2"/>
      <c r="L23" s="2"/>
      <c r="M23" s="2"/>
      <c r="N23" s="2"/>
      <c r="O23" s="2"/>
      <c r="P23" s="7"/>
      <c r="Q23" s="7"/>
      <c r="R23" s="5"/>
      <c r="S23" s="5"/>
      <c r="T23" s="7"/>
      <c r="U23" s="7"/>
      <c r="V23" s="7"/>
    </row>
    <row r="24" spans="1:22">
      <c r="A24" s="5"/>
      <c r="B24" s="6"/>
      <c r="C24" s="6"/>
      <c r="D24" s="6"/>
      <c r="E24" s="7"/>
      <c r="F24" s="8"/>
      <c r="G24" s="8"/>
      <c r="H24" s="2"/>
      <c r="I24" s="2"/>
      <c r="J24" s="2"/>
      <c r="K24" s="2"/>
      <c r="L24" s="2"/>
      <c r="M24" s="2"/>
      <c r="N24" s="2"/>
      <c r="O24" s="2"/>
      <c r="P24" s="7"/>
      <c r="Q24" s="7"/>
      <c r="R24" s="5"/>
      <c r="S24" s="5"/>
      <c r="T24" s="7"/>
      <c r="U24" s="7"/>
      <c r="V24" s="7"/>
    </row>
    <row r="25" spans="1:22">
      <c r="A25" s="3"/>
      <c r="B25" s="5"/>
      <c r="C25" s="5"/>
      <c r="D25" s="5"/>
      <c r="E25" s="7"/>
      <c r="F25" s="8"/>
      <c r="G25" s="8"/>
      <c r="H25" s="8"/>
      <c r="I25" s="8"/>
      <c r="J25" s="5"/>
      <c r="K25" s="5"/>
      <c r="L25" s="10"/>
      <c r="M25" s="10"/>
      <c r="N25" s="5"/>
      <c r="O25" s="5"/>
      <c r="P25" s="9"/>
      <c r="Q25" s="9"/>
      <c r="R25" s="5"/>
      <c r="S25" s="5"/>
      <c r="T25" s="7"/>
      <c r="U25" s="7"/>
      <c r="V25" s="7"/>
    </row>
    <row r="26" spans="1:22">
      <c r="A26" s="3"/>
      <c r="B26" s="3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>
      <c r="A27" s="3"/>
      <c r="B27" s="3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>
      <c r="A28" s="3"/>
      <c r="B28" s="3"/>
      <c r="C28" s="3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>
      <c r="A29" s="3"/>
      <c r="B29" s="3"/>
      <c r="C29" s="3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</sheetData>
  <mergeCells count="26">
    <mergeCell ref="A1:V1"/>
    <mergeCell ref="A2:V2"/>
    <mergeCell ref="F9:G10"/>
    <mergeCell ref="H9:M9"/>
    <mergeCell ref="N9:Q9"/>
    <mergeCell ref="R9:S9"/>
    <mergeCell ref="T9:T11"/>
    <mergeCell ref="U9:U11"/>
    <mergeCell ref="V9:V11"/>
    <mergeCell ref="U8:V8"/>
    <mergeCell ref="N11:O11"/>
    <mergeCell ref="P10:Q10"/>
    <mergeCell ref="P11:Q11"/>
    <mergeCell ref="F11:G11"/>
    <mergeCell ref="H11:I11"/>
    <mergeCell ref="H10:I10"/>
    <mergeCell ref="A12:D12"/>
    <mergeCell ref="A9:D11"/>
    <mergeCell ref="E9:E11"/>
    <mergeCell ref="R10:R11"/>
    <mergeCell ref="S10:S11"/>
    <mergeCell ref="J10:K10"/>
    <mergeCell ref="L10:M10"/>
    <mergeCell ref="L11:M11"/>
    <mergeCell ref="J11:K11"/>
    <mergeCell ref="N10:O10"/>
  </mergeCells>
  <printOptions horizontalCentered="1"/>
  <pageMargins left="0.45" right="0.45" top="0.5" bottom="0.5" header="0.3" footer="0.3"/>
  <pageSetup paperSize="10000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 isian </vt:lpstr>
      <vt:lpstr>sasaran RKPD 2022</vt:lpstr>
      <vt:lpstr>program prioritas 2022</vt:lpstr>
      <vt:lpstr>1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</dc:creator>
  <cp:lastModifiedBy>LENOVO</cp:lastModifiedBy>
  <cp:lastPrinted>2023-01-02T07:29:13Z</cp:lastPrinted>
  <dcterms:created xsi:type="dcterms:W3CDTF">2014-06-17T01:49:02Z</dcterms:created>
  <dcterms:modified xsi:type="dcterms:W3CDTF">2023-02-23T03:49:38Z</dcterms:modified>
</cp:coreProperties>
</file>